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555" yWindow="555" windowWidth="19440" windowHeight="11760" tabRatio="894" activeTab="1"/>
  </bookViews>
  <sheets>
    <sheet name="Veiledning" sheetId="14" r:id="rId1"/>
    <sheet name="Tabell til HØP" sheetId="2" r:id="rId2"/>
    <sheet name="B 2016-2019" sheetId="1" r:id="rId3"/>
    <sheet name="Inntekter 2016-2019" sheetId="4" r:id="rId4"/>
    <sheet name="Låneutgifter" sheetId="9" r:id="rId5"/>
    <sheet name="Gjeldsgrad" sheetId="10" r:id="rId6"/>
  </sheets>
  <definedNames>
    <definedName name="_xlnm._FilterDatabase" localSheetId="2" hidden="1">'B 2016-2019'!$A$1:$J$139</definedName>
    <definedName name="_xlnm._FilterDatabase" localSheetId="3" hidden="1">'Inntekter 2016-2019'!$A$1:$I$31</definedName>
    <definedName name="_xlnm.Print_Area" localSheetId="2">'B 2016-2019'!$A$1:$R$164</definedName>
    <definedName name="_xlnm.Print_Area" localSheetId="3">'Inntekter 2016-2019'!$A$1:$I$31</definedName>
    <definedName name="_xlnm.Print_Titles" localSheetId="2">'B 2016-2019'!$1:$1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M22" i="9" l="1"/>
  <c r="N22" i="9"/>
  <c r="O22" i="9"/>
  <c r="L22" i="9"/>
  <c r="G168" i="2"/>
  <c r="H168" i="2"/>
  <c r="F168" i="2"/>
  <c r="I169" i="2"/>
  <c r="G162" i="2"/>
  <c r="H15" i="4"/>
  <c r="H17" i="4"/>
  <c r="D24" i="4"/>
  <c r="H24" i="4"/>
  <c r="H33" i="4"/>
  <c r="I159" i="2"/>
  <c r="D23" i="4"/>
  <c r="H23" i="4"/>
  <c r="H34" i="4"/>
  <c r="I160" i="2"/>
  <c r="H11" i="4"/>
  <c r="H37" i="4"/>
  <c r="I163"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H41" i="4"/>
  <c r="I167" i="2"/>
  <c r="I5" i="2"/>
  <c r="I6" i="2"/>
  <c r="I7" i="2"/>
  <c r="I8" i="2"/>
  <c r="I9" i="2"/>
  <c r="I10" i="2"/>
  <c r="I11" i="2"/>
  <c r="I12" i="2"/>
  <c r="I13" i="2"/>
  <c r="I16" i="2"/>
  <c r="I17" i="2"/>
  <c r="I18" i="2"/>
  <c r="I19" i="2"/>
  <c r="I20" i="2"/>
  <c r="I21" i="2"/>
  <c r="I22" i="2"/>
  <c r="I23" i="2"/>
  <c r="I24" i="2"/>
  <c r="I25" i="2"/>
  <c r="I26" i="2"/>
  <c r="I27" i="2"/>
  <c r="I28" i="2"/>
  <c r="I30" i="2"/>
  <c r="I31" i="2"/>
  <c r="I32" i="2"/>
  <c r="I33" i="2"/>
  <c r="I34" i="2"/>
  <c r="I35" i="2"/>
  <c r="I37" i="2"/>
  <c r="I38" i="2"/>
  <c r="I39" i="2"/>
  <c r="I40" i="2"/>
  <c r="I41" i="2"/>
  <c r="I42" i="2"/>
  <c r="I43" i="2"/>
  <c r="I44" i="2"/>
  <c r="I45" i="2"/>
  <c r="I46" i="2"/>
  <c r="I47" i="2"/>
  <c r="I49" i="2"/>
  <c r="I50" i="2"/>
  <c r="I51" i="2"/>
  <c r="I52" i="2"/>
  <c r="I53" i="2"/>
  <c r="I54" i="2"/>
  <c r="I55" i="2"/>
  <c r="I56" i="2"/>
  <c r="I57" i="2"/>
  <c r="I58" i="2"/>
  <c r="I81" i="2"/>
  <c r="I82" i="2"/>
  <c r="I83" i="2"/>
  <c r="I84" i="2"/>
  <c r="I85" i="2"/>
  <c r="I86" i="2"/>
  <c r="I87" i="2"/>
  <c r="I88" i="2"/>
  <c r="I89" i="2"/>
  <c r="I90" i="2"/>
  <c r="I94" i="2"/>
  <c r="I95" i="2"/>
  <c r="I96" i="2"/>
  <c r="I97" i="2"/>
  <c r="I98" i="2"/>
  <c r="I99" i="2"/>
  <c r="I102" i="2"/>
  <c r="I103" i="2"/>
  <c r="I104" i="2"/>
  <c r="I105" i="2"/>
  <c r="I106" i="2"/>
  <c r="I107" i="2"/>
  <c r="I108" i="2"/>
  <c r="I109" i="2"/>
  <c r="I110" i="2"/>
  <c r="I111" i="2"/>
  <c r="I112" i="2"/>
  <c r="I114" i="2"/>
  <c r="I115" i="2"/>
  <c r="I116" i="2"/>
  <c r="I117" i="2"/>
  <c r="I118" i="2"/>
  <c r="I119" i="2"/>
  <c r="I120" i="2"/>
  <c r="I121" i="2"/>
  <c r="I122" i="2"/>
  <c r="I123" i="2"/>
  <c r="I124" i="2"/>
  <c r="I127" i="2"/>
  <c r="I128" i="2"/>
  <c r="I129" i="2"/>
  <c r="I130" i="2"/>
  <c r="I131" i="2"/>
  <c r="I132" i="2"/>
  <c r="I133" i="2"/>
  <c r="I134" i="2"/>
  <c r="I135" i="2"/>
  <c r="I136" i="2"/>
  <c r="I137" i="2"/>
  <c r="I138" i="2"/>
  <c r="I139" i="2"/>
  <c r="I140" i="2"/>
  <c r="I141" i="2"/>
  <c r="I143" i="2"/>
  <c r="I144" i="2"/>
  <c r="I145" i="2"/>
  <c r="I146" i="2"/>
  <c r="I147" i="2"/>
  <c r="I148" i="2"/>
  <c r="I149" i="2"/>
  <c r="I153" i="2"/>
  <c r="I60" i="2"/>
  <c r="I61" i="2"/>
  <c r="I62" i="2"/>
  <c r="I63" i="2"/>
  <c r="I64" i="2"/>
  <c r="I65" i="2"/>
  <c r="I66" i="2"/>
  <c r="I67" i="2"/>
  <c r="I68" i="2"/>
  <c r="I69" i="2"/>
  <c r="I70" i="2"/>
  <c r="I71" i="2"/>
  <c r="I72" i="2"/>
  <c r="I73" i="2"/>
  <c r="I74" i="2"/>
  <c r="I75" i="2"/>
  <c r="I76" i="2"/>
  <c r="I77" i="2"/>
  <c r="I78" i="2"/>
  <c r="I79" i="2"/>
  <c r="I154" i="2"/>
  <c r="I155" i="2"/>
  <c r="I171" i="2"/>
  <c r="G17" i="4"/>
  <c r="G33" i="4"/>
  <c r="H159" i="2"/>
  <c r="D14" i="4"/>
  <c r="G14" i="4"/>
  <c r="D16" i="4"/>
  <c r="G16" i="4"/>
  <c r="G34" i="4"/>
  <c r="H160" i="2"/>
  <c r="G11" i="4"/>
  <c r="G37" i="4"/>
  <c r="H163" i="2"/>
  <c r="Q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G41" i="4"/>
  <c r="H167" i="2"/>
  <c r="H5" i="2"/>
  <c r="H6" i="2"/>
  <c r="H7" i="2"/>
  <c r="H8" i="2"/>
  <c r="H9" i="2"/>
  <c r="H10" i="2"/>
  <c r="H11" i="2"/>
  <c r="H12" i="2"/>
  <c r="H13" i="2"/>
  <c r="H16" i="2"/>
  <c r="H17" i="2"/>
  <c r="H18" i="2"/>
  <c r="H19" i="2"/>
  <c r="H20" i="2"/>
  <c r="H21" i="2"/>
  <c r="H22" i="2"/>
  <c r="H23" i="2"/>
  <c r="H24" i="2"/>
  <c r="H25" i="2"/>
  <c r="H26" i="2"/>
  <c r="H27" i="2"/>
  <c r="H28" i="2"/>
  <c r="H30" i="2"/>
  <c r="H31" i="2"/>
  <c r="H32" i="2"/>
  <c r="H33" i="2"/>
  <c r="H34" i="2"/>
  <c r="H35" i="2"/>
  <c r="H37" i="2"/>
  <c r="H38" i="2"/>
  <c r="H39" i="2"/>
  <c r="H40" i="2"/>
  <c r="H41" i="2"/>
  <c r="H42" i="2"/>
  <c r="H43" i="2"/>
  <c r="H44" i="2"/>
  <c r="H45" i="2"/>
  <c r="H46" i="2"/>
  <c r="H47" i="2"/>
  <c r="H49" i="2"/>
  <c r="H50" i="2"/>
  <c r="H51" i="2"/>
  <c r="H52" i="2"/>
  <c r="H53" i="2"/>
  <c r="H54" i="2"/>
  <c r="H55" i="2"/>
  <c r="H56" i="2"/>
  <c r="H57" i="2"/>
  <c r="H58" i="2"/>
  <c r="H81" i="2"/>
  <c r="H82" i="2"/>
  <c r="H83" i="2"/>
  <c r="H84" i="2"/>
  <c r="H85" i="2"/>
  <c r="H86" i="2"/>
  <c r="H87" i="2"/>
  <c r="H88" i="2"/>
  <c r="H89" i="2"/>
  <c r="H90" i="2"/>
  <c r="H94" i="2"/>
  <c r="H95" i="2"/>
  <c r="H96" i="2"/>
  <c r="H97" i="2"/>
  <c r="H98" i="2"/>
  <c r="H99" i="2"/>
  <c r="H102" i="2"/>
  <c r="H103" i="2"/>
  <c r="H104" i="2"/>
  <c r="H105" i="2"/>
  <c r="H106" i="2"/>
  <c r="H107" i="2"/>
  <c r="H108" i="2"/>
  <c r="H109" i="2"/>
  <c r="H110" i="2"/>
  <c r="H111" i="2"/>
  <c r="H112" i="2"/>
  <c r="H114" i="2"/>
  <c r="H115" i="2"/>
  <c r="H116" i="2"/>
  <c r="H117" i="2"/>
  <c r="H118" i="2"/>
  <c r="H119" i="2"/>
  <c r="H120" i="2"/>
  <c r="H121" i="2"/>
  <c r="H122" i="2"/>
  <c r="H123" i="2"/>
  <c r="H124" i="2"/>
  <c r="H127" i="2"/>
  <c r="H128" i="2"/>
  <c r="H129" i="2"/>
  <c r="H130" i="2"/>
  <c r="H131" i="2"/>
  <c r="H132" i="2"/>
  <c r="H133" i="2"/>
  <c r="H134" i="2"/>
  <c r="H135" i="2"/>
  <c r="H136" i="2"/>
  <c r="H137" i="2"/>
  <c r="H138" i="2"/>
  <c r="H139" i="2"/>
  <c r="H140" i="2"/>
  <c r="H141" i="2"/>
  <c r="H143" i="2"/>
  <c r="H144" i="2"/>
  <c r="H145" i="2"/>
  <c r="H146" i="2"/>
  <c r="H147" i="2"/>
  <c r="H148" i="2"/>
  <c r="H149" i="2"/>
  <c r="H153" i="2"/>
  <c r="H60" i="2"/>
  <c r="H61" i="2"/>
  <c r="H62" i="2"/>
  <c r="H63" i="2"/>
  <c r="H64" i="2"/>
  <c r="H65" i="2"/>
  <c r="H66" i="2"/>
  <c r="H67" i="2"/>
  <c r="H68" i="2"/>
  <c r="H69" i="2"/>
  <c r="H70" i="2"/>
  <c r="H71" i="2"/>
  <c r="H72" i="2"/>
  <c r="H73" i="2"/>
  <c r="H74" i="2"/>
  <c r="H75" i="2"/>
  <c r="H76" i="2"/>
  <c r="H77" i="2"/>
  <c r="H78" i="2"/>
  <c r="H79" i="2"/>
  <c r="H154" i="2"/>
  <c r="H155" i="2"/>
  <c r="H169" i="2"/>
  <c r="H171" i="2"/>
  <c r="G5" i="2"/>
  <c r="G6" i="2"/>
  <c r="G7" i="2"/>
  <c r="G8" i="2"/>
  <c r="G9" i="2"/>
  <c r="G10" i="2"/>
  <c r="G11" i="2"/>
  <c r="G12" i="2"/>
  <c r="G13" i="2"/>
  <c r="G16" i="2"/>
  <c r="G17" i="2"/>
  <c r="G18" i="2"/>
  <c r="G19" i="2"/>
  <c r="G20" i="2"/>
  <c r="G21" i="2"/>
  <c r="G22" i="2"/>
  <c r="G23" i="2"/>
  <c r="G24" i="2"/>
  <c r="G25" i="2"/>
  <c r="G26" i="2"/>
  <c r="G27" i="2"/>
  <c r="G28" i="2"/>
  <c r="G30" i="2"/>
  <c r="G31" i="2"/>
  <c r="G32" i="2"/>
  <c r="G33" i="2"/>
  <c r="G34" i="2"/>
  <c r="G35" i="2"/>
  <c r="G37" i="2"/>
  <c r="G38" i="2"/>
  <c r="G39" i="2"/>
  <c r="G40" i="2"/>
  <c r="G41" i="2"/>
  <c r="G42" i="2"/>
  <c r="G43" i="2"/>
  <c r="G44" i="2"/>
  <c r="G45" i="2"/>
  <c r="G46" i="2"/>
  <c r="G47" i="2"/>
  <c r="G49" i="2"/>
  <c r="G50" i="2"/>
  <c r="G51" i="2"/>
  <c r="G52" i="2"/>
  <c r="G53" i="2"/>
  <c r="G54" i="2"/>
  <c r="G55" i="2"/>
  <c r="G56" i="2"/>
  <c r="G57" i="2"/>
  <c r="G58" i="2"/>
  <c r="G81" i="2"/>
  <c r="G82" i="2"/>
  <c r="G83" i="2"/>
  <c r="G84" i="2"/>
  <c r="G85" i="2"/>
  <c r="G86" i="2"/>
  <c r="G87" i="2"/>
  <c r="G88" i="2"/>
  <c r="G89" i="2"/>
  <c r="G90" i="2"/>
  <c r="G94" i="2"/>
  <c r="G95" i="2"/>
  <c r="G96" i="2"/>
  <c r="G97" i="2"/>
  <c r="G98" i="2"/>
  <c r="G99" i="2"/>
  <c r="G102" i="2"/>
  <c r="G103" i="2"/>
  <c r="G104" i="2"/>
  <c r="G105" i="2"/>
  <c r="G106" i="2"/>
  <c r="G107" i="2"/>
  <c r="G108" i="2"/>
  <c r="G109" i="2"/>
  <c r="G110" i="2"/>
  <c r="G111" i="2"/>
  <c r="G112" i="2"/>
  <c r="G114" i="2"/>
  <c r="G115" i="2"/>
  <c r="G116" i="2"/>
  <c r="G117" i="2"/>
  <c r="G118" i="2"/>
  <c r="G119" i="2"/>
  <c r="G120" i="2"/>
  <c r="G121" i="2"/>
  <c r="G122" i="2"/>
  <c r="G123" i="2"/>
  <c r="G124" i="2"/>
  <c r="G127" i="2"/>
  <c r="G128" i="2"/>
  <c r="G129" i="2"/>
  <c r="G130" i="2"/>
  <c r="G131" i="2"/>
  <c r="G132" i="2"/>
  <c r="G133" i="2"/>
  <c r="G134" i="2"/>
  <c r="G135" i="2"/>
  <c r="G136" i="2"/>
  <c r="G137" i="2"/>
  <c r="G138" i="2"/>
  <c r="G139" i="2"/>
  <c r="G140" i="2"/>
  <c r="G141" i="2"/>
  <c r="G143" i="2"/>
  <c r="G144" i="2"/>
  <c r="G145" i="2"/>
  <c r="G146" i="2"/>
  <c r="G147" i="2"/>
  <c r="G148" i="2"/>
  <c r="G149" i="2"/>
  <c r="G153" i="2"/>
  <c r="G60" i="2"/>
  <c r="G61" i="2"/>
  <c r="G62" i="2"/>
  <c r="G63" i="2"/>
  <c r="G64" i="2"/>
  <c r="G65" i="2"/>
  <c r="G66" i="2"/>
  <c r="G67" i="2"/>
  <c r="G68" i="2"/>
  <c r="G69" i="2"/>
  <c r="G70" i="2"/>
  <c r="G71" i="2"/>
  <c r="G72" i="2"/>
  <c r="G73" i="2"/>
  <c r="G74" i="2"/>
  <c r="G75" i="2"/>
  <c r="G76" i="2"/>
  <c r="G77" i="2"/>
  <c r="G78" i="2"/>
  <c r="G79" i="2"/>
  <c r="G154" i="2"/>
  <c r="G155" i="2"/>
  <c r="F15" i="4"/>
  <c r="F17" i="4"/>
  <c r="D25" i="4"/>
  <c r="F25" i="4"/>
  <c r="F33" i="4"/>
  <c r="G159" i="2"/>
  <c r="F11" i="4"/>
  <c r="F37" i="4"/>
  <c r="G163" i="2"/>
  <c r="P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F41" i="4"/>
  <c r="G167" i="2"/>
  <c r="G169" i="2"/>
  <c r="G171" i="2"/>
  <c r="D12" i="4"/>
  <c r="E12" i="4"/>
  <c r="E15" i="4"/>
  <c r="E17" i="4"/>
  <c r="D18" i="4"/>
  <c r="E18" i="4"/>
  <c r="E33" i="4"/>
  <c r="F159" i="2"/>
  <c r="D13" i="4"/>
  <c r="E13" i="4"/>
  <c r="E34" i="4"/>
  <c r="F160" i="2"/>
  <c r="E11" i="4"/>
  <c r="E37" i="4"/>
  <c r="F163" i="2"/>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E41" i="4"/>
  <c r="F167" i="2"/>
  <c r="F5" i="2"/>
  <c r="F6" i="2"/>
  <c r="F7" i="2"/>
  <c r="F8" i="2"/>
  <c r="F9" i="2"/>
  <c r="F10" i="2"/>
  <c r="F11" i="2"/>
  <c r="F12" i="2"/>
  <c r="F13" i="2"/>
  <c r="F16" i="2"/>
  <c r="F17" i="2"/>
  <c r="F18" i="2"/>
  <c r="F19" i="2"/>
  <c r="F20" i="2"/>
  <c r="F21" i="2"/>
  <c r="F22" i="2"/>
  <c r="F23" i="2"/>
  <c r="F24" i="2"/>
  <c r="F25" i="2"/>
  <c r="F26" i="2"/>
  <c r="F27" i="2"/>
  <c r="F28" i="2"/>
  <c r="F30" i="2"/>
  <c r="F31" i="2"/>
  <c r="F32" i="2"/>
  <c r="F33" i="2"/>
  <c r="F34" i="2"/>
  <c r="F35" i="2"/>
  <c r="F37" i="2"/>
  <c r="F38" i="2"/>
  <c r="F39" i="2"/>
  <c r="F40" i="2"/>
  <c r="F41" i="2"/>
  <c r="F42" i="2"/>
  <c r="F43" i="2"/>
  <c r="F44" i="2"/>
  <c r="F45" i="2"/>
  <c r="F46" i="2"/>
  <c r="F47" i="2"/>
  <c r="F49" i="2"/>
  <c r="F50" i="2"/>
  <c r="F51" i="2"/>
  <c r="F52" i="2"/>
  <c r="F53" i="2"/>
  <c r="F54" i="2"/>
  <c r="F55" i="2"/>
  <c r="F56" i="2"/>
  <c r="F57" i="2"/>
  <c r="F58" i="2"/>
  <c r="F81" i="2"/>
  <c r="F82" i="2"/>
  <c r="F83" i="2"/>
  <c r="F84" i="2"/>
  <c r="F85" i="2"/>
  <c r="F86" i="2"/>
  <c r="F87" i="2"/>
  <c r="F88" i="2"/>
  <c r="F89" i="2"/>
  <c r="F90" i="2"/>
  <c r="F94" i="2"/>
  <c r="F95" i="2"/>
  <c r="F96" i="2"/>
  <c r="F97" i="2"/>
  <c r="F98" i="2"/>
  <c r="F99" i="2"/>
  <c r="F102" i="2"/>
  <c r="F103" i="2"/>
  <c r="F104" i="2"/>
  <c r="F105" i="2"/>
  <c r="F106" i="2"/>
  <c r="F107" i="2"/>
  <c r="F108" i="2"/>
  <c r="F109" i="2"/>
  <c r="F110" i="2"/>
  <c r="F111" i="2"/>
  <c r="F112" i="2"/>
  <c r="F114" i="2"/>
  <c r="F115" i="2"/>
  <c r="F116" i="2"/>
  <c r="F117" i="2"/>
  <c r="F118" i="2"/>
  <c r="F119" i="2"/>
  <c r="F120" i="2"/>
  <c r="F121" i="2"/>
  <c r="F122" i="2"/>
  <c r="F123" i="2"/>
  <c r="F124" i="2"/>
  <c r="F127" i="2"/>
  <c r="F128" i="2"/>
  <c r="F129" i="2"/>
  <c r="F130" i="2"/>
  <c r="F131" i="2"/>
  <c r="F132" i="2"/>
  <c r="F133" i="2"/>
  <c r="F134" i="2"/>
  <c r="F135" i="2"/>
  <c r="F136" i="2"/>
  <c r="F137" i="2"/>
  <c r="F138" i="2"/>
  <c r="F139" i="2"/>
  <c r="F140" i="2"/>
  <c r="F141" i="2"/>
  <c r="F143" i="2"/>
  <c r="F144" i="2"/>
  <c r="F145" i="2"/>
  <c r="F146" i="2"/>
  <c r="F147" i="2"/>
  <c r="F148" i="2"/>
  <c r="F149" i="2"/>
  <c r="F153" i="2"/>
  <c r="F60" i="2"/>
  <c r="F61" i="2"/>
  <c r="F62" i="2"/>
  <c r="F63" i="2"/>
  <c r="F64" i="2"/>
  <c r="F65" i="2"/>
  <c r="F66" i="2"/>
  <c r="F67" i="2"/>
  <c r="F68" i="2"/>
  <c r="F69" i="2"/>
  <c r="F70" i="2"/>
  <c r="F71" i="2"/>
  <c r="F72" i="2"/>
  <c r="F73" i="2"/>
  <c r="F74" i="2"/>
  <c r="F75" i="2"/>
  <c r="F76" i="2"/>
  <c r="F77" i="2"/>
  <c r="F78" i="2"/>
  <c r="F79" i="2"/>
  <c r="F154" i="2"/>
  <c r="F155" i="2"/>
  <c r="F169" i="2"/>
  <c r="F171" i="2"/>
  <c r="H43" i="4"/>
  <c r="G43" i="4"/>
  <c r="F43" i="4"/>
  <c r="E43" i="4"/>
  <c r="D87" i="1"/>
  <c r="G175" i="2"/>
  <c r="G176" i="2"/>
  <c r="G177" i="2"/>
  <c r="G178" i="2"/>
  <c r="G179" i="2"/>
  <c r="G180" i="2"/>
  <c r="H175" i="2"/>
  <c r="H176" i="2"/>
  <c r="H177" i="2"/>
  <c r="H178" i="2"/>
  <c r="H179" i="2"/>
  <c r="H180" i="2"/>
  <c r="I175" i="2"/>
  <c r="I176" i="2"/>
  <c r="I177" i="2"/>
  <c r="I178" i="2"/>
  <c r="I179" i="2"/>
  <c r="I180" i="2"/>
  <c r="F175" i="2"/>
  <c r="F176" i="2"/>
  <c r="F177" i="2"/>
  <c r="F178" i="2"/>
  <c r="F179" i="2"/>
  <c r="F180" i="2"/>
  <c r="H35" i="4"/>
  <c r="I161" i="2"/>
  <c r="H36" i="4"/>
  <c r="I162" i="2"/>
  <c r="H10" i="4"/>
  <c r="H38" i="4"/>
  <c r="I164" i="2"/>
  <c r="J4" i="10"/>
  <c r="K4" i="10"/>
  <c r="L4" i="10"/>
  <c r="J5" i="10"/>
  <c r="K5" i="10"/>
  <c r="L5" i="10"/>
  <c r="I6" i="10"/>
  <c r="J6" i="10"/>
  <c r="K6" i="10"/>
  <c r="L6" i="10"/>
  <c r="J8" i="10"/>
  <c r="K8" i="10"/>
  <c r="L8" i="10"/>
  <c r="J9" i="10"/>
  <c r="K9" i="10"/>
  <c r="L9" i="10"/>
  <c r="L13" i="10"/>
  <c r="L16" i="10"/>
  <c r="L32" i="10"/>
  <c r="L33" i="10"/>
  <c r="H39" i="4"/>
  <c r="I165" i="2"/>
  <c r="I166" i="2"/>
  <c r="E19" i="4"/>
  <c r="E35" i="4"/>
  <c r="F161" i="2"/>
  <c r="E36" i="4"/>
  <c r="F162" i="2"/>
  <c r="E10" i="4"/>
  <c r="E38" i="4"/>
  <c r="F164" i="2"/>
  <c r="I13" i="10"/>
  <c r="I16" i="10"/>
  <c r="I30" i="10"/>
  <c r="I32" i="10"/>
  <c r="I33" i="10"/>
  <c r="E39" i="4"/>
  <c r="F165" i="2"/>
  <c r="F166" i="2"/>
  <c r="F34" i="4"/>
  <c r="G160" i="2"/>
  <c r="F35" i="4"/>
  <c r="G161" i="2"/>
  <c r="F36" i="4"/>
  <c r="F10" i="4"/>
  <c r="F38" i="4"/>
  <c r="G164" i="2"/>
  <c r="J13" i="10"/>
  <c r="J16" i="10"/>
  <c r="J30" i="10"/>
  <c r="J32" i="10"/>
  <c r="J33" i="10"/>
  <c r="F39" i="4"/>
  <c r="G165" i="2"/>
  <c r="G166" i="2"/>
  <c r="G35" i="4"/>
  <c r="H161" i="2"/>
  <c r="G36" i="4"/>
  <c r="H162" i="2"/>
  <c r="G10" i="4"/>
  <c r="G38" i="4"/>
  <c r="H164" i="2"/>
  <c r="K13" i="10"/>
  <c r="K16" i="10"/>
  <c r="K32" i="10"/>
  <c r="K33" i="10"/>
  <c r="G39" i="4"/>
  <c r="H165" i="2"/>
  <c r="H166" i="2"/>
  <c r="B179" i="2"/>
  <c r="C179" i="2"/>
  <c r="D179" i="2"/>
  <c r="E179" i="2"/>
  <c r="B178" i="2"/>
  <c r="C178" i="2"/>
  <c r="D178" i="2"/>
  <c r="E178" i="2"/>
  <c r="D177" i="2"/>
  <c r="E177" i="2"/>
  <c r="C177" i="2"/>
  <c r="B177" i="2"/>
  <c r="B145" i="2"/>
  <c r="C145" i="2"/>
  <c r="D145" i="2"/>
  <c r="E145" i="2"/>
  <c r="B146" i="2"/>
  <c r="C146" i="2"/>
  <c r="D146" i="2"/>
  <c r="E146" i="2"/>
  <c r="B147" i="2"/>
  <c r="C147" i="2"/>
  <c r="D147" i="2"/>
  <c r="E147" i="2"/>
  <c r="B137" i="2"/>
  <c r="C137" i="2"/>
  <c r="B138" i="2"/>
  <c r="C138" i="2"/>
  <c r="D138" i="2"/>
  <c r="E138" i="2"/>
  <c r="B139" i="2"/>
  <c r="C139" i="2"/>
  <c r="D139" i="2"/>
  <c r="E139" i="2"/>
  <c r="B140" i="2"/>
  <c r="C140" i="2"/>
  <c r="D140" i="2"/>
  <c r="E140" i="2"/>
  <c r="B120" i="2"/>
  <c r="C120" i="2"/>
  <c r="D120" i="2"/>
  <c r="E120" i="2"/>
  <c r="B121" i="2"/>
  <c r="C121" i="2"/>
  <c r="D121" i="2"/>
  <c r="E121" i="2"/>
  <c r="B122" i="2"/>
  <c r="C122" i="2"/>
  <c r="D122" i="2"/>
  <c r="E122" i="2"/>
  <c r="B109" i="2"/>
  <c r="C109" i="2"/>
  <c r="D109" i="2"/>
  <c r="E109" i="2"/>
  <c r="B110" i="2"/>
  <c r="C110" i="2"/>
  <c r="D110" i="2"/>
  <c r="E110" i="2"/>
  <c r="B111" i="2"/>
  <c r="C111" i="2"/>
  <c r="D111" i="2"/>
  <c r="E111" i="2"/>
  <c r="B96" i="2"/>
  <c r="C96" i="2"/>
  <c r="D96" i="2"/>
  <c r="E96" i="2"/>
  <c r="B97" i="2"/>
  <c r="C97" i="2"/>
  <c r="D97" i="2"/>
  <c r="E97" i="2"/>
  <c r="B98" i="2"/>
  <c r="C98" i="2"/>
  <c r="D98" i="2"/>
  <c r="E98" i="2"/>
  <c r="B88" i="2"/>
  <c r="C88" i="2"/>
  <c r="D88" i="2"/>
  <c r="E88" i="2"/>
  <c r="B89" i="2"/>
  <c r="C89" i="2"/>
  <c r="D89" i="2"/>
  <c r="E89" i="2"/>
  <c r="D87" i="2"/>
  <c r="E87" i="2"/>
  <c r="C87" i="2"/>
  <c r="B87" i="2"/>
  <c r="B77" i="2"/>
  <c r="C77" i="2"/>
  <c r="D77" i="2"/>
  <c r="E77" i="2"/>
  <c r="B78" i="2"/>
  <c r="C78" i="2"/>
  <c r="D78" i="2"/>
  <c r="E78" i="2"/>
  <c r="E76" i="2"/>
  <c r="D76" i="2"/>
  <c r="C76" i="2"/>
  <c r="B76" i="2"/>
  <c r="D55" i="2"/>
  <c r="E55" i="2"/>
  <c r="D56" i="2"/>
  <c r="E56" i="2"/>
  <c r="D57" i="2"/>
  <c r="E57" i="2"/>
  <c r="C55" i="2"/>
  <c r="C56" i="2"/>
  <c r="C57" i="2"/>
  <c r="B55" i="2"/>
  <c r="B56" i="2"/>
  <c r="B57" i="2"/>
  <c r="D44" i="2"/>
  <c r="E44" i="2"/>
  <c r="D45" i="2"/>
  <c r="E45" i="2"/>
  <c r="D46" i="2"/>
  <c r="E46" i="2"/>
  <c r="C44" i="2"/>
  <c r="C45" i="2"/>
  <c r="C46" i="2"/>
  <c r="B44" i="2"/>
  <c r="B45" i="2"/>
  <c r="B46" i="2"/>
  <c r="D32" i="2"/>
  <c r="E32" i="2"/>
  <c r="D33" i="2"/>
  <c r="E33" i="2"/>
  <c r="D34" i="2"/>
  <c r="E34" i="2"/>
  <c r="C32" i="2"/>
  <c r="C33" i="2"/>
  <c r="C34" i="2"/>
  <c r="B32" i="2"/>
  <c r="B33" i="2"/>
  <c r="B34" i="2"/>
  <c r="D25" i="2"/>
  <c r="E25" i="2"/>
  <c r="D26" i="2"/>
  <c r="E26" i="2"/>
  <c r="D27" i="2"/>
  <c r="E27" i="2"/>
  <c r="C25" i="2"/>
  <c r="C26" i="2"/>
  <c r="C27" i="2"/>
  <c r="B25" i="2"/>
  <c r="B26" i="2"/>
  <c r="B27" i="2"/>
  <c r="E10" i="2"/>
  <c r="D10" i="2"/>
  <c r="D11" i="2"/>
  <c r="E11" i="2"/>
  <c r="D12" i="2"/>
  <c r="E12" i="2"/>
  <c r="C10" i="2"/>
  <c r="C11" i="2"/>
  <c r="C12" i="2"/>
  <c r="B10" i="2"/>
  <c r="B11" i="2"/>
  <c r="B12" i="2"/>
  <c r="D6" i="4"/>
  <c r="D19" i="4"/>
  <c r="D4" i="4"/>
  <c r="D8" i="4"/>
  <c r="C9" i="4"/>
  <c r="C7" i="4"/>
  <c r="B9" i="4"/>
  <c r="B7" i="4"/>
  <c r="C5" i="4"/>
  <c r="B5" i="4"/>
  <c r="G186" i="2"/>
  <c r="F186" i="2"/>
  <c r="F184" i="2"/>
  <c r="B176" i="2"/>
  <c r="H35" i="9"/>
  <c r="I30" i="9"/>
  <c r="I43" i="9"/>
  <c r="I31" i="9"/>
  <c r="I35" i="9"/>
  <c r="J30" i="9"/>
  <c r="I39" i="9"/>
  <c r="J43" i="9"/>
  <c r="J31" i="9"/>
  <c r="J33" i="9"/>
  <c r="J35" i="9"/>
  <c r="K25" i="9"/>
  <c r="K30" i="9"/>
  <c r="K43" i="9"/>
  <c r="K31" i="9"/>
  <c r="K32" i="9"/>
  <c r="K35" i="9"/>
  <c r="L4" i="9"/>
  <c r="L10" i="9"/>
  <c r="L12" i="9"/>
  <c r="L13" i="9"/>
  <c r="L14" i="9"/>
  <c r="L15" i="9"/>
  <c r="L16" i="9"/>
  <c r="L17" i="9"/>
  <c r="L18" i="9"/>
  <c r="L19" i="9"/>
  <c r="L20" i="9"/>
  <c r="L30" i="9"/>
  <c r="K42" i="9"/>
  <c r="L43" i="9"/>
  <c r="L31" i="9"/>
  <c r="L32" i="9"/>
  <c r="L35" i="9"/>
  <c r="M4" i="9"/>
  <c r="M10" i="9"/>
  <c r="M12" i="9"/>
  <c r="M13" i="9"/>
  <c r="M14" i="9"/>
  <c r="M15" i="9"/>
  <c r="M16" i="9"/>
  <c r="M17" i="9"/>
  <c r="M18" i="9"/>
  <c r="M19" i="9"/>
  <c r="M20" i="9"/>
  <c r="M30" i="9"/>
  <c r="L42" i="9"/>
  <c r="L39" i="9"/>
  <c r="M43" i="9"/>
  <c r="M31" i="9"/>
  <c r="M32" i="9"/>
  <c r="M35" i="9"/>
  <c r="N4" i="9"/>
  <c r="N10" i="9"/>
  <c r="N12" i="9"/>
  <c r="N13" i="9"/>
  <c r="N14" i="9"/>
  <c r="N15" i="9"/>
  <c r="N16" i="9"/>
  <c r="N17" i="9"/>
  <c r="N18" i="9"/>
  <c r="N19" i="9"/>
  <c r="N20" i="9"/>
  <c r="N30" i="9"/>
  <c r="M42" i="9"/>
  <c r="M39" i="9"/>
  <c r="N43" i="9"/>
  <c r="N31" i="9"/>
  <c r="N32" i="9"/>
  <c r="N35" i="9"/>
  <c r="O4" i="9"/>
  <c r="O10" i="9"/>
  <c r="O12" i="9"/>
  <c r="O13" i="9"/>
  <c r="O14" i="9"/>
  <c r="O15" i="9"/>
  <c r="O16" i="9"/>
  <c r="O17" i="9"/>
  <c r="O18" i="9"/>
  <c r="O19" i="9"/>
  <c r="O20" i="9"/>
  <c r="O30" i="9"/>
  <c r="N42" i="9"/>
  <c r="N39" i="9"/>
  <c r="O43" i="9"/>
  <c r="O31" i="9"/>
  <c r="O32" i="9"/>
  <c r="O35" i="9"/>
  <c r="O54" i="9"/>
  <c r="C35" i="9"/>
  <c r="D30" i="9"/>
  <c r="D35" i="9"/>
  <c r="D55" i="9"/>
  <c r="E30" i="9"/>
  <c r="E35" i="9"/>
  <c r="E55" i="9"/>
  <c r="F30" i="9"/>
  <c r="F35" i="9"/>
  <c r="F55" i="9"/>
  <c r="G24" i="9"/>
  <c r="G30" i="9"/>
  <c r="G35" i="9"/>
  <c r="G55" i="9"/>
  <c r="H55" i="9"/>
  <c r="I55" i="9"/>
  <c r="J55" i="9"/>
  <c r="K55" i="9"/>
  <c r="L55" i="9"/>
  <c r="M55" i="9"/>
  <c r="N55" i="9"/>
  <c r="O55" i="9"/>
  <c r="I60" i="9"/>
  <c r="J60" i="9"/>
  <c r="K60" i="9"/>
  <c r="L60" i="9"/>
  <c r="M60" i="9"/>
  <c r="N60" i="9"/>
  <c r="O60" i="9"/>
  <c r="I61" i="9"/>
  <c r="J61" i="9"/>
  <c r="K61" i="9"/>
  <c r="L61" i="9"/>
  <c r="M61" i="9"/>
  <c r="N61" i="9"/>
  <c r="O61" i="9"/>
  <c r="I62" i="9"/>
  <c r="J62" i="9"/>
  <c r="K62" i="9"/>
  <c r="L62" i="9"/>
  <c r="M62" i="9"/>
  <c r="N62" i="9"/>
  <c r="O62" i="9"/>
  <c r="B160" i="2"/>
  <c r="B161" i="2"/>
  <c r="B162" i="2"/>
  <c r="B163" i="2"/>
  <c r="B164" i="2"/>
  <c r="B165" i="2"/>
  <c r="B166" i="2"/>
  <c r="B167" i="2"/>
  <c r="B159" i="2"/>
  <c r="C16" i="4"/>
  <c r="B16" i="4"/>
  <c r="I195" i="2"/>
  <c r="H195" i="2"/>
  <c r="G195" i="2"/>
  <c r="F195" i="2"/>
  <c r="I193" i="2"/>
  <c r="H193" i="2"/>
  <c r="G193" i="2"/>
  <c r="F193" i="2"/>
  <c r="I194" i="2"/>
  <c r="H194" i="2"/>
  <c r="G194" i="2"/>
  <c r="F194" i="2"/>
  <c r="I192" i="2"/>
  <c r="H192" i="2"/>
  <c r="G192" i="2"/>
  <c r="F192" i="2"/>
  <c r="I185" i="2"/>
  <c r="H185" i="2"/>
  <c r="E176" i="2"/>
  <c r="D176" i="2"/>
  <c r="E175" i="2"/>
  <c r="E144" i="2"/>
  <c r="D144" i="2"/>
  <c r="E136" i="2"/>
  <c r="E135" i="2"/>
  <c r="D135" i="2"/>
  <c r="E133" i="2"/>
  <c r="E132" i="2"/>
  <c r="D132" i="2"/>
  <c r="E131" i="2"/>
  <c r="D131" i="2"/>
  <c r="E130" i="2"/>
  <c r="E129" i="2"/>
  <c r="D129" i="2"/>
  <c r="E119" i="2"/>
  <c r="D119" i="2"/>
  <c r="E118" i="2"/>
  <c r="E117" i="2"/>
  <c r="E108" i="2"/>
  <c r="D108" i="2"/>
  <c r="E107" i="2"/>
  <c r="E106" i="2"/>
  <c r="E105" i="2"/>
  <c r="E104" i="2"/>
  <c r="D104" i="2"/>
  <c r="E103" i="2"/>
  <c r="D103" i="2"/>
  <c r="E102" i="2"/>
  <c r="E95" i="2"/>
  <c r="E86" i="2"/>
  <c r="D86" i="2"/>
  <c r="E85" i="2"/>
  <c r="D85" i="2"/>
  <c r="E75" i="2"/>
  <c r="D75" i="2"/>
  <c r="E74" i="2"/>
  <c r="E73" i="2"/>
  <c r="E71" i="2"/>
  <c r="E70" i="2"/>
  <c r="D70" i="2"/>
  <c r="E69" i="2"/>
  <c r="E68" i="2"/>
  <c r="E67" i="2"/>
  <c r="D67" i="2"/>
  <c r="E65" i="2"/>
  <c r="D65" i="2"/>
  <c r="E62" i="2"/>
  <c r="D62" i="2"/>
  <c r="E54" i="2"/>
  <c r="E53" i="2"/>
  <c r="E52" i="2"/>
  <c r="D52" i="2"/>
  <c r="E51" i="2"/>
  <c r="D51" i="2"/>
  <c r="E50" i="2"/>
  <c r="E41" i="2"/>
  <c r="D41" i="2"/>
  <c r="E31" i="2"/>
  <c r="D31" i="2"/>
  <c r="E24" i="2"/>
  <c r="D24" i="2"/>
  <c r="E23" i="2"/>
  <c r="D23" i="2"/>
  <c r="E22" i="2"/>
  <c r="E21" i="2"/>
  <c r="D21" i="2"/>
  <c r="E20" i="2"/>
  <c r="E19" i="2"/>
  <c r="D19" i="2"/>
  <c r="E18" i="2"/>
  <c r="E17" i="2"/>
  <c r="D17" i="2"/>
  <c r="E16" i="2"/>
  <c r="E8" i="2"/>
  <c r="D8" i="2"/>
  <c r="E6" i="2"/>
  <c r="E128" i="2"/>
  <c r="D128" i="2"/>
  <c r="B66" i="2"/>
  <c r="C18" i="4"/>
  <c r="B18" i="4"/>
  <c r="D53" i="2"/>
  <c r="A6" i="2"/>
  <c r="A7" i="2"/>
  <c r="A8" i="2"/>
  <c r="A9" i="2"/>
  <c r="A16" i="2"/>
  <c r="A17" i="2"/>
  <c r="A18" i="2"/>
  <c r="A19" i="2"/>
  <c r="A20" i="2"/>
  <c r="A21" i="2"/>
  <c r="A22" i="2"/>
  <c r="A23" i="2"/>
  <c r="A24" i="2"/>
  <c r="A30" i="2"/>
  <c r="A31" i="2"/>
  <c r="B51" i="2"/>
  <c r="C51" i="2"/>
  <c r="B52" i="2"/>
  <c r="C52" i="2"/>
  <c r="C41" i="2"/>
  <c r="B41" i="2"/>
  <c r="A37" i="2"/>
  <c r="A38" i="2"/>
  <c r="A39" i="2"/>
  <c r="A40" i="2"/>
  <c r="A41" i="2"/>
  <c r="A42" i="2"/>
  <c r="A43" i="2"/>
  <c r="A49" i="2"/>
  <c r="D95" i="2"/>
  <c r="D133" i="2"/>
  <c r="D20" i="2"/>
  <c r="D22" i="2"/>
  <c r="D118" i="2"/>
  <c r="B131" i="2"/>
  <c r="C131" i="2"/>
  <c r="B132" i="2"/>
  <c r="C132" i="2"/>
  <c r="D136" i="2"/>
  <c r="D117" i="2"/>
  <c r="D107" i="2"/>
  <c r="D105" i="2"/>
  <c r="D130" i="2"/>
  <c r="C54" i="2"/>
  <c r="C108" i="2"/>
  <c r="C116" i="2"/>
  <c r="B19" i="2"/>
  <c r="C19" i="2"/>
  <c r="D18" i="2"/>
  <c r="D69" i="2"/>
  <c r="D50" i="2"/>
  <c r="D54" i="2"/>
  <c r="D71" i="2"/>
  <c r="D106" i="2"/>
  <c r="C25" i="4"/>
  <c r="B25" i="4"/>
  <c r="C119" i="2"/>
  <c r="B119" i="2"/>
  <c r="D74" i="2"/>
  <c r="C17" i="4"/>
  <c r="B17" i="4"/>
  <c r="C106" i="2"/>
  <c r="B106" i="2"/>
  <c r="C71" i="2"/>
  <c r="B71" i="2"/>
  <c r="C70" i="2"/>
  <c r="B70" i="2"/>
  <c r="C69" i="2"/>
  <c r="B69" i="2"/>
  <c r="C107" i="2"/>
  <c r="B107" i="2"/>
  <c r="C40" i="2"/>
  <c r="B40" i="2"/>
  <c r="C8" i="2"/>
  <c r="B8" i="2"/>
  <c r="B116" i="2"/>
  <c r="B108" i="2"/>
  <c r="C176" i="2"/>
  <c r="B54" i="2"/>
  <c r="D16" i="2"/>
  <c r="D15" i="4"/>
  <c r="D17" i="4"/>
  <c r="F196" i="2"/>
  <c r="G196" i="2"/>
  <c r="H196" i="2"/>
  <c r="I196" i="2"/>
  <c r="H187" i="2"/>
  <c r="I187" i="2"/>
  <c r="I188" i="2"/>
  <c r="H188" i="2"/>
  <c r="D175" i="2"/>
  <c r="D102" i="2"/>
  <c r="I91" i="2"/>
  <c r="D68" i="2"/>
  <c r="D73" i="2"/>
  <c r="C31" i="2"/>
  <c r="B31" i="2"/>
  <c r="H32" i="10"/>
  <c r="H13" i="10"/>
  <c r="H16" i="10"/>
  <c r="B49" i="2"/>
  <c r="B83" i="2"/>
  <c r="C14" i="4"/>
  <c r="B14" i="4"/>
  <c r="C24" i="4"/>
  <c r="B24" i="4"/>
  <c r="C118" i="2"/>
  <c r="B118" i="2"/>
  <c r="B15" i="2"/>
  <c r="C115" i="2"/>
  <c r="B115" i="2"/>
  <c r="C104" i="2"/>
  <c r="B104" i="2"/>
  <c r="C144" i="2"/>
  <c r="B144" i="2"/>
  <c r="C39" i="2"/>
  <c r="B39" i="2"/>
  <c r="B38" i="2"/>
  <c r="C86" i="2"/>
  <c r="B86" i="2"/>
  <c r="C75" i="2"/>
  <c r="B75" i="2"/>
  <c r="C129" i="2"/>
  <c r="B129" i="2"/>
  <c r="C95" i="2"/>
  <c r="B95" i="2"/>
  <c r="C50" i="2"/>
  <c r="B36" i="2"/>
  <c r="C25" i="10"/>
  <c r="D25" i="10"/>
  <c r="B25" i="10"/>
  <c r="G13" i="10"/>
  <c r="F13" i="10"/>
  <c r="F16" i="10"/>
  <c r="F2" i="10"/>
  <c r="G2" i="10"/>
  <c r="H2" i="10"/>
  <c r="I2" i="10"/>
  <c r="E13" i="10"/>
  <c r="F14" i="10"/>
  <c r="F48" i="9"/>
  <c r="E48" i="9"/>
  <c r="G48" i="9"/>
  <c r="H48" i="9"/>
  <c r="D48" i="9"/>
  <c r="C48" i="9"/>
  <c r="B171" i="2"/>
  <c r="C23" i="4"/>
  <c r="B23" i="4"/>
  <c r="C15" i="4"/>
  <c r="B15" i="4"/>
  <c r="C19" i="4"/>
  <c r="B19" i="4"/>
  <c r="C13" i="4"/>
  <c r="B13" i="4"/>
  <c r="C12" i="4"/>
  <c r="B12" i="4"/>
  <c r="C11" i="4"/>
  <c r="B11" i="4"/>
  <c r="B50" i="2"/>
  <c r="C8" i="4"/>
  <c r="B8" i="4"/>
  <c r="C6" i="4"/>
  <c r="B6" i="4"/>
  <c r="C4" i="4"/>
  <c r="B4" i="4"/>
  <c r="B175" i="2"/>
  <c r="C175" i="2"/>
  <c r="C53" i="2"/>
  <c r="B53" i="2"/>
  <c r="B48" i="2"/>
  <c r="B143" i="2"/>
  <c r="B142" i="2"/>
  <c r="C136" i="2"/>
  <c r="B136" i="2"/>
  <c r="C135" i="2"/>
  <c r="B135" i="2"/>
  <c r="C134" i="2"/>
  <c r="B134" i="2"/>
  <c r="C133" i="2"/>
  <c r="B133" i="2"/>
  <c r="C130" i="2"/>
  <c r="B130" i="2"/>
  <c r="C128" i="2"/>
  <c r="B128" i="2"/>
  <c r="B127" i="2"/>
  <c r="B126" i="2"/>
  <c r="C117" i="2"/>
  <c r="B117" i="2"/>
  <c r="B114" i="2"/>
  <c r="B113" i="2"/>
  <c r="C105" i="2"/>
  <c r="B105" i="2"/>
  <c r="C103" i="2"/>
  <c r="B103" i="2"/>
  <c r="C102" i="2"/>
  <c r="B102" i="2"/>
  <c r="B94" i="2"/>
  <c r="B93" i="2"/>
  <c r="A92" i="2"/>
  <c r="C85" i="2"/>
  <c r="B85" i="2"/>
  <c r="C84" i="2"/>
  <c r="B84" i="2"/>
  <c r="C83" i="2"/>
  <c r="C82" i="2"/>
  <c r="B82" i="2"/>
  <c r="C81" i="2"/>
  <c r="B81" i="2"/>
  <c r="C74" i="2"/>
  <c r="B74" i="2"/>
  <c r="C73" i="2"/>
  <c r="B73" i="2"/>
  <c r="C72" i="2"/>
  <c r="B72" i="2"/>
  <c r="C68" i="2"/>
  <c r="B68" i="2"/>
  <c r="C67" i="2"/>
  <c r="B67" i="2"/>
  <c r="C66" i="2"/>
  <c r="C65" i="2"/>
  <c r="B65" i="2"/>
  <c r="C64" i="2"/>
  <c r="B64" i="2"/>
  <c r="C63" i="2"/>
  <c r="B63" i="2"/>
  <c r="C62" i="2"/>
  <c r="B62" i="2"/>
  <c r="C61" i="2"/>
  <c r="B61" i="2"/>
  <c r="C60" i="2"/>
  <c r="B60" i="2"/>
  <c r="C43" i="2"/>
  <c r="B43" i="2"/>
  <c r="C42" i="2"/>
  <c r="B42" i="2"/>
  <c r="B37" i="2"/>
  <c r="B30" i="2"/>
  <c r="B4" i="2"/>
  <c r="C24" i="2"/>
  <c r="C23" i="2"/>
  <c r="C22" i="2"/>
  <c r="C21" i="2"/>
  <c r="C20" i="2"/>
  <c r="C18" i="2"/>
  <c r="C17" i="2"/>
  <c r="C16" i="2"/>
  <c r="B24" i="2"/>
  <c r="B23" i="2"/>
  <c r="B22" i="2"/>
  <c r="B21" i="2"/>
  <c r="B20" i="2"/>
  <c r="B18" i="2"/>
  <c r="B17" i="2"/>
  <c r="B16" i="2"/>
  <c r="A3" i="2"/>
  <c r="B5" i="2"/>
  <c r="B6" i="2"/>
  <c r="C6" i="2"/>
  <c r="B7" i="2"/>
  <c r="C7" i="2"/>
  <c r="B9" i="2"/>
  <c r="C9" i="2"/>
  <c r="E25" i="10"/>
  <c r="G14" i="10"/>
  <c r="H33" i="10"/>
  <c r="D43" i="9"/>
  <c r="I38" i="9"/>
  <c r="G16" i="10"/>
  <c r="H14" i="10"/>
  <c r="L14" i="10"/>
  <c r="F91" i="2"/>
  <c r="H91" i="2"/>
  <c r="G91" i="2"/>
  <c r="E43" i="9"/>
  <c r="F43" i="9"/>
  <c r="G185" i="2"/>
  <c r="I14" i="10"/>
  <c r="J14" i="10"/>
  <c r="K14" i="10"/>
  <c r="F22" i="10"/>
  <c r="J38" i="9"/>
  <c r="I45" i="9"/>
  <c r="I46" i="9"/>
  <c r="K79" i="2"/>
  <c r="F25" i="10"/>
  <c r="G43" i="9"/>
  <c r="G187" i="2"/>
  <c r="H43" i="9"/>
  <c r="H38" i="9"/>
  <c r="G22" i="10"/>
  <c r="J45" i="9"/>
  <c r="J46" i="9"/>
  <c r="K38" i="9"/>
  <c r="F185" i="2"/>
  <c r="G188" i="2"/>
  <c r="I48" i="9"/>
  <c r="J48" i="9"/>
  <c r="G25" i="10"/>
  <c r="F187" i="2"/>
  <c r="K155" i="2"/>
  <c r="L38" i="9"/>
  <c r="H22" i="10"/>
  <c r="H25" i="10"/>
  <c r="K50" i="9"/>
  <c r="K45" i="9"/>
  <c r="K46" i="9"/>
  <c r="K48" i="9"/>
  <c r="K51" i="9"/>
  <c r="O42" i="9"/>
  <c r="O39" i="9"/>
  <c r="F188" i="2"/>
  <c r="I22" i="10"/>
  <c r="I25" i="10"/>
  <c r="L46" i="9"/>
  <c r="L48" i="9"/>
  <c r="M38" i="9"/>
  <c r="L50" i="9"/>
  <c r="L51" i="9"/>
  <c r="N38" i="9"/>
  <c r="N46" i="9"/>
  <c r="N48" i="9"/>
  <c r="J22" i="10"/>
  <c r="J25" i="10"/>
  <c r="M46" i="9"/>
  <c r="M48" i="9"/>
  <c r="O38" i="9"/>
  <c r="K22" i="10"/>
  <c r="K25" i="10"/>
  <c r="O46" i="9"/>
  <c r="O48" i="9"/>
  <c r="L22" i="10"/>
  <c r="L25" i="10"/>
  <c r="D6" i="2"/>
  <c r="A50" i="2"/>
  <c r="A51" i="2"/>
  <c r="A52" i="2"/>
  <c r="A53" i="2"/>
  <c r="A54" i="2"/>
  <c r="A60" i="2"/>
  <c r="A61" i="2"/>
  <c r="A62" i="2"/>
  <c r="A63" i="2"/>
  <c r="A64" i="2"/>
  <c r="A65" i="2"/>
  <c r="A66" i="2"/>
  <c r="A67" i="2"/>
  <c r="A68" i="2"/>
  <c r="A69" i="2"/>
  <c r="A70" i="2"/>
  <c r="A71" i="2"/>
  <c r="A72" i="2"/>
  <c r="A73" i="2"/>
  <c r="A74" i="2"/>
  <c r="A75" i="2"/>
  <c r="A81" i="2"/>
  <c r="A82" i="2"/>
  <c r="A83" i="2"/>
  <c r="A84" i="2"/>
  <c r="A85" i="2"/>
  <c r="A86" i="2"/>
  <c r="A94" i="2"/>
  <c r="A95" i="2"/>
  <c r="A102" i="2"/>
  <c r="A103" i="2"/>
  <c r="A104" i="2"/>
  <c r="A105" i="2"/>
  <c r="A106" i="2"/>
  <c r="A107" i="2"/>
  <c r="A108" i="2"/>
  <c r="A114" i="2"/>
  <c r="A115" i="2"/>
  <c r="A116" i="2"/>
  <c r="A117" i="2"/>
  <c r="A118" i="2"/>
  <c r="A119" i="2"/>
  <c r="A127" i="2"/>
  <c r="A128" i="2"/>
  <c r="A129" i="2"/>
  <c r="A130" i="2"/>
  <c r="A131" i="2"/>
  <c r="A132" i="2"/>
  <c r="A133" i="2"/>
  <c r="A134" i="2"/>
  <c r="A135" i="2"/>
  <c r="A136" i="2"/>
  <c r="A137" i="2"/>
  <c r="A143" i="2"/>
  <c r="A144" i="2"/>
  <c r="A153" i="2"/>
  <c r="A154" i="2"/>
  <c r="A159" i="2"/>
  <c r="A160" i="2"/>
  <c r="A161" i="2"/>
  <c r="A162" i="2"/>
  <c r="A163" i="2"/>
  <c r="A164" i="2"/>
  <c r="A165" i="2"/>
  <c r="A166" i="2"/>
  <c r="A167" i="2"/>
  <c r="A168" i="2"/>
  <c r="A169" i="2"/>
  <c r="A175" i="2"/>
  <c r="A176" i="2"/>
  <c r="A184" i="2"/>
  <c r="A185" i="2"/>
  <c r="A186" i="2"/>
  <c r="A187" i="2"/>
  <c r="A192" i="2"/>
  <c r="A193" i="2"/>
  <c r="A194" i="2"/>
  <c r="A195" i="2"/>
</calcChain>
</file>

<file path=xl/comments1.xml><?xml version="1.0" encoding="utf-8"?>
<comments xmlns="http://schemas.openxmlformats.org/spreadsheetml/2006/main">
  <authors>
    <author>Sabina Leto</author>
  </authors>
  <commentList>
    <comment ref="H13" authorId="0">
      <text>
        <r>
          <rPr>
            <b/>
            <sz val="9"/>
            <color indexed="81"/>
            <rFont val="Tahoma"/>
            <family val="2"/>
          </rPr>
          <t>Sabina Leto:</t>
        </r>
        <r>
          <rPr>
            <sz val="9"/>
            <color indexed="81"/>
            <rFont val="Tahoma"/>
            <family val="2"/>
          </rPr>
          <t xml:space="preserve">
tallene hentet fra hovedoveriskt tatt ut 13.10.15</t>
        </r>
      </text>
    </comment>
  </commentList>
</comments>
</file>

<file path=xl/sharedStrings.xml><?xml version="1.0" encoding="utf-8"?>
<sst xmlns="http://schemas.openxmlformats.org/spreadsheetml/2006/main" count="569" uniqueCount="294">
  <si>
    <t>Kategori</t>
  </si>
  <si>
    <t>Prosjekt</t>
  </si>
  <si>
    <t>IKT-investering strategisk (årsbev.)</t>
  </si>
  <si>
    <t>Selv.fin. byggeprosjekter</t>
  </si>
  <si>
    <t>Avdrag på lån</t>
  </si>
  <si>
    <t>Myklebust felt CB-8-11-14 (22 rekkehus for salg)</t>
  </si>
  <si>
    <t>Turveg</t>
  </si>
  <si>
    <t>Turveg Hafrsfjord - Grannes</t>
  </si>
  <si>
    <t>Turveg Hafrsfjord - Joa</t>
  </si>
  <si>
    <t>Turveg Hafrsfjord - Jåsund</t>
  </si>
  <si>
    <t>Turveg Hafrsfjord - Snøde</t>
  </si>
  <si>
    <t>Turveg Hafrsfjord - Sømme</t>
  </si>
  <si>
    <t>Kirke</t>
  </si>
  <si>
    <t>Tilrettel. universell utforming komm. bygg (årsbev.)</t>
  </si>
  <si>
    <t>BSHP</t>
  </si>
  <si>
    <t>Myklebust felt CB-6-12-13 (38 leil. for salg)</t>
  </si>
  <si>
    <t>Småhus, midlertidige/permanente</t>
  </si>
  <si>
    <t>Div. levekår</t>
  </si>
  <si>
    <t>Ny sjukeheim Sola sentrum</t>
  </si>
  <si>
    <t>Skole og SFO</t>
  </si>
  <si>
    <t>Ressurssenteret Grannes skole, utvidelse (del 1)</t>
  </si>
  <si>
    <t>Skolebruksplan, Sola skole</t>
  </si>
  <si>
    <t>Datamaskiner/fornying skoler (årsbev.)</t>
  </si>
  <si>
    <t>Skolebruksplan, ny skole Jåsund</t>
  </si>
  <si>
    <t>Skolebruksplan, Dysjaland skole, utbygging</t>
  </si>
  <si>
    <t>Inventar skole (planlagt utskiftning) (årsbev.)</t>
  </si>
  <si>
    <t>Barnehage</t>
  </si>
  <si>
    <t>Idrett</t>
  </si>
  <si>
    <t>Innskudd folkehallene</t>
  </si>
  <si>
    <t>VAR</t>
  </si>
  <si>
    <t>R116 Renovasjon (årsbev.)</t>
  </si>
  <si>
    <t>VA18 Bergjevegen</t>
  </si>
  <si>
    <t>VAR105 Div. mask./utrustning/utstyr (årsbev.)</t>
  </si>
  <si>
    <t>VA40 Grotnes nord</t>
  </si>
  <si>
    <t>VA42 Grotnes sør</t>
  </si>
  <si>
    <t>P107 Biler/større maskiner (årsbev.)</t>
  </si>
  <si>
    <t>VA63 Lensmannsvegen</t>
  </si>
  <si>
    <t>VA49 Røyneberg (vann)</t>
  </si>
  <si>
    <t>Veg</t>
  </si>
  <si>
    <t>Utskiftning gatelys, standardheving (årsbev.)</t>
  </si>
  <si>
    <t>Trafikksikkerhetsplan, ikke spesifikke tiltak (årsbev.)</t>
  </si>
  <si>
    <t>Ræge kirke, ny veg</t>
  </si>
  <si>
    <t>Total budsjettramme</t>
  </si>
  <si>
    <t>Linje</t>
  </si>
  <si>
    <t>Turveg Tananger indre havn</t>
  </si>
  <si>
    <t>Turveg Hafrsfjord - Sørnes</t>
  </si>
  <si>
    <t>Sum turveg</t>
  </si>
  <si>
    <t>Sum kirke</t>
  </si>
  <si>
    <t>Samfunnsutvikling</t>
  </si>
  <si>
    <t>Vann, avløp og renovasjon</t>
  </si>
  <si>
    <t>Sum vann, avløp og renovasjon</t>
  </si>
  <si>
    <t>Kommunale veger</t>
  </si>
  <si>
    <t>Sum kommunale veger</t>
  </si>
  <si>
    <t>Sum felles (inkl. kommunehus)</t>
  </si>
  <si>
    <t>Sum samfunnsutvikling</t>
  </si>
  <si>
    <t>Levekår</t>
  </si>
  <si>
    <t>Sum boligsosial handlingsplan</t>
  </si>
  <si>
    <t>Sum div. levekår</t>
  </si>
  <si>
    <t>Sum levekår</t>
  </si>
  <si>
    <t>Oppvekst</t>
  </si>
  <si>
    <t>Sum skole og SFO</t>
  </si>
  <si>
    <t>Sum barnehage</t>
  </si>
  <si>
    <t>Sum idrett</t>
  </si>
  <si>
    <t>Sum oppvekst</t>
  </si>
  <si>
    <t>Selvfinansierte byggeprosjekter</t>
  </si>
  <si>
    <t>Sum investeringer/finansieringsbehov</t>
  </si>
  <si>
    <t>Sum ordinære investeringsprosjekter</t>
  </si>
  <si>
    <t>Sum VAR</t>
  </si>
  <si>
    <t>Sum alt</t>
  </si>
  <si>
    <t>Finansiering</t>
  </si>
  <si>
    <t>Finansiering av investeringer</t>
  </si>
  <si>
    <t>Prosjekt-nummer</t>
  </si>
  <si>
    <t>Kommentar</t>
  </si>
  <si>
    <t>Avsetning til fond til erverv av nytt byggeareal, sosial infrastruktur og boliger</t>
  </si>
  <si>
    <t>Spillemidler</t>
  </si>
  <si>
    <t>Husbanktilskudd boliger (maks 20 %)</t>
  </si>
  <si>
    <t>Husbanken investeringstilskudd</t>
  </si>
  <si>
    <t>Salg øvrige eiendommer</t>
  </si>
  <si>
    <t>Spillemidler ordinære idrettsanlegg</t>
  </si>
  <si>
    <t>Diverse</t>
  </si>
  <si>
    <t>Bruk av ubundet investeringsfond</t>
  </si>
  <si>
    <t>Overføring fra drift</t>
  </si>
  <si>
    <t>Avdrag fra Lyse</t>
  </si>
  <si>
    <t>Momskompensajson i investering</t>
  </si>
  <si>
    <t>Sum inntekter</t>
  </si>
  <si>
    <t>Avsetning til fond</t>
  </si>
  <si>
    <t>RÅDMANNENS FORSLAG:</t>
  </si>
  <si>
    <t>Saldo 31.12.06</t>
  </si>
  <si>
    <t>Sum investeringer ekskl. byggeprosjekter/generelt finansieringsbehov (ekskl. startlån)</t>
  </si>
  <si>
    <t>-byggeprosjekter</t>
  </si>
  <si>
    <t>- inntekter byggeprosjekter</t>
  </si>
  <si>
    <t>Netto bidrag fra eiendomsutvikling</t>
  </si>
  <si>
    <t>Sum investeringer ekskl. byggeprosjekter og startlån</t>
  </si>
  <si>
    <t>-Ubundnde fond vedtatt i Tertial per 31.08.13</t>
  </si>
  <si>
    <t>Korrigert låneopptak 1. tertial</t>
  </si>
  <si>
    <t>Korrigert låneopptak 2. tertial</t>
  </si>
  <si>
    <t>Andre korrigeringer</t>
  </si>
  <si>
    <t>Lån til mellomfinansiering av enkeltprosjekter</t>
  </si>
  <si>
    <t>Lån fra tidligere år, egne prosjekter</t>
  </si>
  <si>
    <t>Utsatte låneopptak, egne prosjekter</t>
  </si>
  <si>
    <t>Nytt låneopptak per 31.12.xx/01.01.xx fra 2013</t>
  </si>
  <si>
    <t>Betalt minimumsavdrag / stipulert minimumsavdrag (31.12.xx)</t>
  </si>
  <si>
    <t>Saldo ved årets slutt</t>
  </si>
  <si>
    <t>Forhold LG/AM pr. 01.01</t>
  </si>
  <si>
    <t>Avskrivbare anleggsmidler ved årets slutt</t>
  </si>
  <si>
    <t>Avskrivininger i regnskapsåret</t>
  </si>
  <si>
    <t>Minimumsavdrag</t>
  </si>
  <si>
    <t>Rentesats</t>
  </si>
  <si>
    <t>Betalte renter / anslag renter på eksterne lån</t>
  </si>
  <si>
    <t>Sum avdrag og renter</t>
  </si>
  <si>
    <t>Fastrentelån:</t>
  </si>
  <si>
    <t>Flytende rentelån:</t>
  </si>
  <si>
    <t>Fastrente i planperioden:</t>
  </si>
  <si>
    <t>Flytende rente i planperioden (inkl. kredittpåslag)</t>
  </si>
  <si>
    <t>Vektet gjennomsnitt i planperioden</t>
  </si>
  <si>
    <t>Neg. opptak</t>
  </si>
  <si>
    <t>Brutto driftsinntekter framskrevet (fra 2011)</t>
  </si>
  <si>
    <t>Brukerbetalinger</t>
  </si>
  <si>
    <t>Andre salgs- og leieinntekter</t>
  </si>
  <si>
    <t>Overføringer med krav til motytelse</t>
  </si>
  <si>
    <t>Rammetilskudd</t>
  </si>
  <si>
    <t>Andre statlige overføringer</t>
  </si>
  <si>
    <t>Andre overføringer</t>
  </si>
  <si>
    <t>Skatt på inntekt og formue</t>
  </si>
  <si>
    <t>Mva komp investeringer</t>
  </si>
  <si>
    <t>Andre direkte og indirekte skatter</t>
  </si>
  <si>
    <t>Sum driftsinntekter</t>
  </si>
  <si>
    <t>% vekst driftsinntekter</t>
  </si>
  <si>
    <t>3 % av netto driftsresultat</t>
  </si>
  <si>
    <t>Langsiktig lånegjeld (eksklusive lån til videre utlån)</t>
  </si>
  <si>
    <t>Brutto lånegjeld (ekskl. lån til videre utlån) i prosent av brutto driftsinntekter</t>
  </si>
  <si>
    <t>Ombygging av kryss, Sømmekroken</t>
  </si>
  <si>
    <t>Div. samfunnsutvikling</t>
  </si>
  <si>
    <t>Sum div. samfunnsutvikling</t>
  </si>
  <si>
    <t>Ressurssenteret Grannes skole, utvidelse (del 2)</t>
  </si>
  <si>
    <t>Sats mva.</t>
  </si>
  <si>
    <t>Bruk av fond</t>
  </si>
  <si>
    <t>Ekstraordinær avdrag i investering</t>
  </si>
  <si>
    <t>Avdrag i tillegg til minimum- drift + vedtak 1. tertial</t>
  </si>
  <si>
    <t>Avdrag utover minimum - disp. reg.mess.mindreforbruk 2013</t>
  </si>
  <si>
    <t>Skytehall Forus Bedriftsidrettsarena</t>
  </si>
  <si>
    <t>Egenkapitalinnskudd KLP (årsbev.)</t>
  </si>
  <si>
    <t>Husbanktilskudd boliger (maks 30 %)</t>
  </si>
  <si>
    <t>Turveg Hellestø - Sele</t>
  </si>
  <si>
    <t>Erstatning av utleieboliger K/T/B3</t>
  </si>
  <si>
    <t>VA151-153 Kolnes</t>
  </si>
  <si>
    <t>Trafikksikkerhetsplan, standardheving veger (årsbev.)</t>
  </si>
  <si>
    <t>Skadbergv./Åsenv. lavbl. (10 komm. leil.)(BSHP)</t>
  </si>
  <si>
    <t>Skadbergv./Åsenv. lavbl. (50 leil. for salg)</t>
  </si>
  <si>
    <t>Finansiering selvfinansierte byggeprosjekt</t>
  </si>
  <si>
    <t>Bruk av midlertidige lånemidler</t>
  </si>
  <si>
    <t>Salg av selvfinansierte byggeprosjekt</t>
  </si>
  <si>
    <t>Avsetning til ubundet investeringsfond til erverv av nytt byggeareal, sosial infrastruktur og boliger</t>
  </si>
  <si>
    <t>Sum finansiering selvfinansierte byggeprosjekt</t>
  </si>
  <si>
    <t>Infrastruktur regionalt sykkelanlegg</t>
  </si>
  <si>
    <t>Selvfinansierte byggeprosjekt</t>
  </si>
  <si>
    <t>Startlån</t>
  </si>
  <si>
    <t>Sum selvfinansierte byggeprosjekt</t>
  </si>
  <si>
    <t>Innlån fra Husbanken</t>
  </si>
  <si>
    <t>Avdrag betalt til Husbanken</t>
  </si>
  <si>
    <t>Sum startlån</t>
  </si>
  <si>
    <t>Samlebevilgning formål kirke</t>
  </si>
  <si>
    <t>Samlebevilgning formål energi</t>
  </si>
  <si>
    <t>Samlebevilgning formål uteareal</t>
  </si>
  <si>
    <t>Samlebevilgning formål levekår</t>
  </si>
  <si>
    <t>Samlebevilgning formål skole og SFO</t>
  </si>
  <si>
    <t>Samlebevilgning formål idrett</t>
  </si>
  <si>
    <t>Samlebevilgning formål barnehage</t>
  </si>
  <si>
    <t>Omlegging av VA-ledninger, Sømmevågen</t>
  </si>
  <si>
    <t>Intern prosjektledelse eiendomsutvikling (årsbev.)</t>
  </si>
  <si>
    <t>Erverv av areal (årsbev.)</t>
  </si>
  <si>
    <t>VA111 Uforutsette tiltak (årsbev.)</t>
  </si>
  <si>
    <t>Tiltak ved priv. utbyggingspr. (årsbev.)</t>
  </si>
  <si>
    <t>Bokollektiv Skadbergv./Åsenv. (4 leil. + pers.base) (BSHP)</t>
  </si>
  <si>
    <t>Krigshistorisk museum, Sømmevågen</t>
  </si>
  <si>
    <t>Ekstraordinært avdrag på lån i investeringsregnskap</t>
  </si>
  <si>
    <t>Diverse inntekter</t>
  </si>
  <si>
    <t>Utlån til innbyggere</t>
  </si>
  <si>
    <t>Innbetaling avdrag fra innbyggere</t>
  </si>
  <si>
    <t>Trimpark Hålandskogen</t>
  </si>
  <si>
    <t>Superlekeplass i Sola sentrum</t>
  </si>
  <si>
    <t>Skatepark Dysjaland</t>
  </si>
  <si>
    <t>Kultur</t>
  </si>
  <si>
    <t>Myklebust felt G</t>
  </si>
  <si>
    <t>BPHP</t>
  </si>
  <si>
    <t>VA Sola sentrum</t>
  </si>
  <si>
    <t>Total budsjettramme utgifter</t>
  </si>
  <si>
    <t xml:space="preserve">Samlebevilgning formål kultur </t>
  </si>
  <si>
    <t>Inventar levekår (årsbev.)</t>
  </si>
  <si>
    <t>Flere</t>
  </si>
  <si>
    <t>Myklebust felt CB-6-12-13 (9 komm. leil.)(4 leil.BSHP)</t>
  </si>
  <si>
    <t>Forventet bruk av fond i drift</t>
  </si>
  <si>
    <t>Andel fastrente per april 2015: 37,59 %</t>
  </si>
  <si>
    <t>Hva bør vi</t>
  </si>
  <si>
    <t>bruke her?</t>
  </si>
  <si>
    <t>Låneutgifter 2016-2019</t>
  </si>
  <si>
    <t>Korrigert låneopptak årsrapport fjoråret</t>
  </si>
  <si>
    <t>negativt låneopptak brukes til å nedbetale ektraordinær avdrag i investering</t>
  </si>
  <si>
    <t>Sum momskomp.</t>
  </si>
  <si>
    <t>Boligpolitisk (sosial) handlingsplan</t>
  </si>
  <si>
    <t xml:space="preserve">Sum kultur </t>
  </si>
  <si>
    <t>Låneopptak eksklusiv byggeprosjekt</t>
  </si>
  <si>
    <t>Vedtatt låneopptak i opprinnelig/justert budsjett ekskl. startlån og selvfinansierte</t>
  </si>
  <si>
    <t>Vurderes slettes fra rad 52 og ned!</t>
  </si>
  <si>
    <t>Foreløpig prioriterte nye tiltak</t>
  </si>
  <si>
    <t>Samlebevilgning formål felles (inkl. adm.bygg)</t>
  </si>
  <si>
    <t>Tiltak radonoppfølging kommunale bygg (årsbev.)</t>
  </si>
  <si>
    <t>Kommunale utleieboliger (gruppe 2)</t>
  </si>
  <si>
    <t>Erstatningslokaler kommunale bhg.</t>
  </si>
  <si>
    <t>VA157, Ølbergvegen</t>
  </si>
  <si>
    <t>Erstatning av utleieboliger B05</t>
  </si>
  <si>
    <t>Turveg Tananger indre havn, bryggeområder</t>
  </si>
  <si>
    <t>Budsjett t.o.m. 2015</t>
  </si>
  <si>
    <t>Skolebruksplan, Sande skole (4 klasserom)</t>
  </si>
  <si>
    <t>Skolebruksplan, Håland skole (3 klasserom)</t>
  </si>
  <si>
    <t>Skolebruksplan, Storevarden skole</t>
  </si>
  <si>
    <t>Sola hybelhus</t>
  </si>
  <si>
    <t>Nytt rådhus</t>
  </si>
  <si>
    <t>Utbygging av trådløst nettverk, kommunale bygg</t>
  </si>
  <si>
    <t>VA, undergang Rægekrossen</t>
  </si>
  <si>
    <t>4 boliger m/base, Kjelsberg ring (rus/psyk.)</t>
  </si>
  <si>
    <t>Ny kirke Sola sentrum</t>
  </si>
  <si>
    <t>Tall i hele kr 1000</t>
  </si>
  <si>
    <t>HØP 16-19</t>
  </si>
  <si>
    <t>3% netto dr.res.</t>
  </si>
  <si>
    <t>Kommunale utleieboliger (gruppe 1)</t>
  </si>
  <si>
    <t>Felles (inkl. adm.bygg.)</t>
  </si>
  <si>
    <r>
      <t xml:space="preserve">A97 Rehab. pumpest. avløp </t>
    </r>
    <r>
      <rPr>
        <sz val="11"/>
        <rFont val="Calibri"/>
        <family val="2"/>
      </rPr>
      <t>(årsbev.)</t>
    </r>
  </si>
  <si>
    <r>
      <t xml:space="preserve">VA111 Uforutsette tiltak </t>
    </r>
    <r>
      <rPr>
        <sz val="11"/>
        <rFont val="Calibri"/>
        <family val="2"/>
      </rPr>
      <t>(årsbev.)</t>
    </r>
  </si>
  <si>
    <r>
      <t>Tiltak ved priv. utbyggingspr.</t>
    </r>
    <r>
      <rPr>
        <sz val="11"/>
        <rFont val="Calibri"/>
        <family val="2"/>
      </rPr>
      <t xml:space="preserve"> (årsbev.)</t>
    </r>
  </si>
  <si>
    <r>
      <t xml:space="preserve">Småanlegg veger (busskur mv.) </t>
    </r>
    <r>
      <rPr>
        <sz val="11"/>
        <rFont val="Calibri"/>
        <family val="2"/>
      </rPr>
      <t>(årsbev.)</t>
    </r>
  </si>
  <si>
    <t>Rådmannens forslag til budsjettramme HØP 2016-2019</t>
  </si>
  <si>
    <t>Livssyklus/kommentar</t>
  </si>
  <si>
    <t>Rulleres løpende</t>
  </si>
  <si>
    <t>Regnskap t.o.m. 27.10.2015</t>
  </si>
  <si>
    <t>Årsbevilgning</t>
  </si>
  <si>
    <t>Velferdsteknologi Levekår (årsbev.)</t>
  </si>
  <si>
    <t>Ikke mva.komp. rus/psyk.</t>
  </si>
  <si>
    <t>Vann</t>
  </si>
  <si>
    <t>Avløp</t>
  </si>
  <si>
    <t>Årsbevilgning, vann</t>
  </si>
  <si>
    <t>Årsbevilgning, avløp</t>
  </si>
  <si>
    <t>Oppdatteres automatisk ved endring i arkfane "B 2016-2019"</t>
  </si>
  <si>
    <t>Salg av areal</t>
  </si>
  <si>
    <t>Salg av egnet areal.</t>
  </si>
  <si>
    <t>Beregnede spillemidler for frilufts- og idrettsanlegg</t>
  </si>
  <si>
    <t>Sum budsjetterte spillemidler. Se tekst linje 85 side 49 i hoveddokumentet.</t>
  </si>
  <si>
    <t>Salg av leiligheter</t>
  </si>
  <si>
    <t>Føres mot "Bruk av ubundet investeringsfond" i tabellen nedenfor.</t>
  </si>
  <si>
    <t>Husbanken. Investeringstilskudd. 45 % av godkjente anleggskostnader, begrensed oppad til kr 1,575 mill. per plass.</t>
  </si>
  <si>
    <t>Husbanken. Boligtilskudd 30 %.</t>
  </si>
  <si>
    <t>Husbanken. Investeringstilskudd.  55 % av godkjente anleggskostnader, begrenset oppad til 1,925 mill. per plass.</t>
  </si>
  <si>
    <t>Motpost til driftstabell, overføring til investering</t>
  </si>
  <si>
    <t>Investeringsbudsjett 2016-2019</t>
  </si>
  <si>
    <t>Veiledning i bruk av regneark/arbeidsbok Investering</t>
  </si>
  <si>
    <r>
      <t>1.</t>
    </r>
    <r>
      <rPr>
        <b/>
        <sz val="7"/>
        <color rgb="FF4F81BD"/>
        <rFont val="Times New Roman"/>
        <family val="1"/>
      </rPr>
      <t xml:space="preserve">     </t>
    </r>
    <r>
      <rPr>
        <b/>
        <sz val="13"/>
        <color rgb="FF4F81BD"/>
        <rFont val="Cambria"/>
        <family val="1"/>
      </rPr>
      <t>Veiledning</t>
    </r>
  </si>
  <si>
    <r>
      <t>ü</t>
    </r>
    <r>
      <rPr>
        <sz val="7"/>
        <color theme="1"/>
        <rFont val="Times New Roman"/>
        <family val="1"/>
      </rPr>
      <t xml:space="preserve">  </t>
    </r>
    <r>
      <rPr>
        <sz val="11"/>
        <color theme="1"/>
        <rFont val="Calibri"/>
        <family val="2"/>
        <scheme val="minor"/>
      </rPr>
      <t>Denne arkfanen inneholder praktisk informasjon om hvordan regnearket/arbeidsboken benyttes.</t>
    </r>
  </si>
  <si>
    <r>
      <t>ü</t>
    </r>
    <r>
      <rPr>
        <sz val="7"/>
        <color theme="1"/>
        <rFont val="Times New Roman"/>
        <family val="1"/>
      </rPr>
      <t xml:space="preserve">  </t>
    </r>
    <r>
      <rPr>
        <sz val="11"/>
        <color theme="1"/>
        <rFont val="Calibri"/>
        <family val="2"/>
        <scheme val="minor"/>
      </rPr>
      <t>Denne arkfanen inneholder totaloversikt over alle investeringer. Tabellen tilsvarer tabell 2.6.2. i HØP-dokumentet.</t>
    </r>
  </si>
  <si>
    <r>
      <t>2.</t>
    </r>
    <r>
      <rPr>
        <b/>
        <sz val="7"/>
        <color rgb="FF4F81BD"/>
        <rFont val="Times New Roman"/>
        <family val="1"/>
      </rPr>
      <t xml:space="preserve">     </t>
    </r>
    <r>
      <rPr>
        <b/>
        <sz val="13"/>
        <color rgb="FF4F81BD"/>
        <rFont val="Cambria"/>
        <family val="1"/>
      </rPr>
      <t>Tabell til HØP</t>
    </r>
  </si>
  <si>
    <r>
      <t>ü</t>
    </r>
    <r>
      <rPr>
        <sz val="7"/>
        <color theme="1"/>
        <rFont val="Times New Roman"/>
        <family val="1"/>
      </rPr>
      <t xml:space="preserve">  </t>
    </r>
    <r>
      <rPr>
        <sz val="11"/>
        <color theme="1"/>
        <rFont val="Calibri"/>
        <family val="2"/>
        <scheme val="minor"/>
      </rPr>
      <t>Denne arkfanen inneholder alle kostnader knyttet til investeringsprosjekter.</t>
    </r>
  </si>
  <si>
    <r>
      <t>ü</t>
    </r>
    <r>
      <rPr>
        <sz val="7"/>
        <color theme="1"/>
        <rFont val="Times New Roman"/>
        <family val="1"/>
      </rPr>
      <t xml:space="preserve">  </t>
    </r>
    <r>
      <rPr>
        <sz val="11"/>
        <color theme="1"/>
        <rFont val="Calibri"/>
        <family val="2"/>
        <scheme val="minor"/>
      </rPr>
      <t>Det er lagt inn gul farge på feltene/celleområdene som kan endres.</t>
    </r>
  </si>
  <si>
    <r>
      <t>ü</t>
    </r>
    <r>
      <rPr>
        <sz val="7"/>
        <color theme="1"/>
        <rFont val="Times New Roman"/>
        <family val="1"/>
      </rPr>
      <t xml:space="preserve">  </t>
    </r>
    <r>
      <rPr>
        <sz val="11"/>
        <color theme="1"/>
        <rFont val="Calibri"/>
        <family val="2"/>
        <scheme val="minor"/>
      </rPr>
      <t>Dersom det legges inn nye prosjekter legges disse på en tom gul linje under aktuelt fagområde.</t>
    </r>
  </si>
  <si>
    <r>
      <t>ü</t>
    </r>
    <r>
      <rPr>
        <sz val="7"/>
        <color theme="1"/>
        <rFont val="Times New Roman"/>
        <family val="1"/>
      </rPr>
      <t xml:space="preserve">  </t>
    </r>
    <r>
      <rPr>
        <sz val="11"/>
        <color theme="1"/>
        <rFont val="Calibri"/>
        <family val="2"/>
        <scheme val="minor"/>
      </rPr>
      <t>Eventuelle endringer på eksisterende prosjekter gjøres i gule felt/celler på prosjektets linje.</t>
    </r>
  </si>
  <si>
    <r>
      <t>ü</t>
    </r>
    <r>
      <rPr>
        <sz val="7"/>
        <color theme="1"/>
        <rFont val="Times New Roman"/>
        <family val="1"/>
      </rPr>
      <t xml:space="preserve">  </t>
    </r>
    <r>
      <rPr>
        <sz val="11"/>
        <color theme="1"/>
        <rFont val="Calibri"/>
        <family val="2"/>
        <scheme val="minor"/>
      </rPr>
      <t>Denne arkfanen inneholder alle inntekter knyttet til investeringsprosjektene.</t>
    </r>
  </si>
  <si>
    <r>
      <t>ü</t>
    </r>
    <r>
      <rPr>
        <sz val="7"/>
        <color theme="1"/>
        <rFont val="Times New Roman"/>
        <family val="1"/>
      </rPr>
      <t xml:space="preserve">  </t>
    </r>
    <r>
      <rPr>
        <sz val="11"/>
        <color theme="1"/>
        <rFont val="Calibri"/>
        <family val="2"/>
        <scheme val="minor"/>
      </rPr>
      <t>Eventuell endring på overføring mellom drift og investering (egenfinansiering av investeringer), registreres på linje 39 i denne arkfanen. Husk at eventuelle endringer på overføring mellom drift og investering også får konsekvens for driftsbudsjettet og må korrigeres på linje 22 i driftstabellen. Denne endringen må registreres manuelt i driftstabellen, da det ikke er kobling mellom regnearkene for driftsbudsjett og investeringsbudsjett.</t>
    </r>
  </si>
  <si>
    <r>
      <t>ü</t>
    </r>
    <r>
      <rPr>
        <sz val="7"/>
        <color theme="1"/>
        <rFont val="Times New Roman"/>
        <family val="1"/>
      </rPr>
      <t xml:space="preserve">  </t>
    </r>
    <r>
      <rPr>
        <sz val="11"/>
        <color theme="1"/>
        <rFont val="Calibri"/>
        <family val="2"/>
        <scheme val="minor"/>
      </rPr>
      <t>Denne arkfanen inneholder totale låneutgifter for kommunen.</t>
    </r>
  </si>
  <si>
    <r>
      <t>ü</t>
    </r>
    <r>
      <rPr>
        <sz val="7"/>
        <color theme="1"/>
        <rFont val="Times New Roman"/>
        <family val="1"/>
      </rPr>
      <t xml:space="preserve">  </t>
    </r>
    <r>
      <rPr>
        <sz val="11"/>
        <color theme="1"/>
        <rFont val="Calibri"/>
        <family val="2"/>
        <scheme val="minor"/>
      </rPr>
      <t>Det er lagt inn gul farge på feltene/cellene som kan endres. Dette vil kun gjelde avdrag i tillegg til minimumsavdrag, linje 32. Eventuell endring på denne linjen må endres tilsvarende i driftstabellen, linje 9.</t>
    </r>
  </si>
  <si>
    <r>
      <t>ü</t>
    </r>
    <r>
      <rPr>
        <sz val="7"/>
        <color theme="1"/>
        <rFont val="Times New Roman"/>
        <family val="1"/>
      </rPr>
      <t xml:space="preserve">  </t>
    </r>
    <r>
      <rPr>
        <sz val="11"/>
        <color theme="1"/>
        <rFont val="Calibri"/>
        <family val="2"/>
        <scheme val="minor"/>
      </rPr>
      <t>Eventuelle endringer på minimumsavdrag, avdrag utover minimumsavdrag og renter på eksterne lån må endres manuelt i driftstabellen, da det ikke er kobling mellom regnearkene for driftsbudsjett og investeringsbudsjett.</t>
    </r>
  </si>
  <si>
    <r>
      <t>ü</t>
    </r>
    <r>
      <rPr>
        <sz val="7"/>
        <color theme="1"/>
        <rFont val="Times New Roman"/>
        <family val="1"/>
      </rPr>
      <t xml:space="preserve">  </t>
    </r>
    <r>
      <rPr>
        <sz val="11"/>
        <color theme="1"/>
        <rFont val="Calibri"/>
        <family val="2"/>
        <scheme val="minor"/>
      </rPr>
      <t>Denne arkfanen inneholder graf for gjeldsgrad.</t>
    </r>
  </si>
  <si>
    <r>
      <t>ü</t>
    </r>
    <r>
      <rPr>
        <sz val="7"/>
        <color theme="1"/>
        <rFont val="Times New Roman"/>
        <family val="1"/>
      </rPr>
      <t xml:space="preserve">  </t>
    </r>
    <r>
      <rPr>
        <sz val="11"/>
        <color theme="1"/>
        <rFont val="Calibri"/>
        <family val="2"/>
        <scheme val="minor"/>
      </rPr>
      <t>Grafen vil bli endret automatisk ved eventuelle endringer i investeringsbudsjettet.</t>
    </r>
  </si>
  <si>
    <r>
      <t>6.</t>
    </r>
    <r>
      <rPr>
        <b/>
        <sz val="7"/>
        <color rgb="FF4F81BD"/>
        <rFont val="Times New Roman"/>
        <family val="1"/>
      </rPr>
      <t xml:space="preserve">     </t>
    </r>
    <r>
      <rPr>
        <b/>
        <sz val="13"/>
        <color rgb="FF4F81BD"/>
        <rFont val="Cambria"/>
        <family val="1"/>
      </rPr>
      <t>Gjeldsgrad</t>
    </r>
  </si>
  <si>
    <r>
      <t>5.</t>
    </r>
    <r>
      <rPr>
        <b/>
        <sz val="7"/>
        <color rgb="FF4F81BD"/>
        <rFont val="Times New Roman"/>
        <family val="1"/>
      </rPr>
      <t xml:space="preserve">     </t>
    </r>
    <r>
      <rPr>
        <b/>
        <sz val="13"/>
        <color rgb="FF4F81BD"/>
        <rFont val="Cambria"/>
        <family val="1"/>
      </rPr>
      <t>Låneutgifter</t>
    </r>
  </si>
  <si>
    <r>
      <t>4.</t>
    </r>
    <r>
      <rPr>
        <b/>
        <sz val="7"/>
        <color rgb="FF4F81BD"/>
        <rFont val="Times New Roman"/>
        <family val="1"/>
      </rPr>
      <t xml:space="preserve">     </t>
    </r>
    <r>
      <rPr>
        <b/>
        <sz val="13"/>
        <color rgb="FF4F81BD"/>
        <rFont val="Cambria"/>
        <family val="1"/>
      </rPr>
      <t>Inntekter 2016-2019</t>
    </r>
  </si>
  <si>
    <t>Regnearket/arbeidsboken inneholder totalt 6 arkfaner. Det er kun arkfaner farget med gul farge som er åpne for redigering, andre arkfaner oppdateres automatisk.</t>
  </si>
  <si>
    <r>
      <t>1.</t>
    </r>
    <r>
      <rPr>
        <sz val="7"/>
        <color theme="1"/>
        <rFont val="Times New Roman"/>
        <family val="1"/>
      </rPr>
      <t xml:space="preserve">       </t>
    </r>
    <r>
      <rPr>
        <sz val="11"/>
        <color theme="1"/>
        <rFont val="Calibri"/>
        <family val="2"/>
        <scheme val="minor"/>
      </rPr>
      <t>Veiledning</t>
    </r>
  </si>
  <si>
    <r>
      <t>2.</t>
    </r>
    <r>
      <rPr>
        <sz val="7"/>
        <color theme="1"/>
        <rFont val="Times New Roman"/>
        <family val="1"/>
      </rPr>
      <t xml:space="preserve">       </t>
    </r>
    <r>
      <rPr>
        <sz val="11"/>
        <color theme="1"/>
        <rFont val="Calibri"/>
        <family val="2"/>
        <scheme val="minor"/>
      </rPr>
      <t>Tabell til HØP</t>
    </r>
  </si>
  <si>
    <r>
      <t>4.</t>
    </r>
    <r>
      <rPr>
        <sz val="7"/>
        <color theme="1"/>
        <rFont val="Times New Roman"/>
        <family val="1"/>
      </rPr>
      <t xml:space="preserve">       </t>
    </r>
    <r>
      <rPr>
        <sz val="11"/>
        <color theme="1"/>
        <rFont val="Calibri"/>
        <family val="2"/>
        <scheme val="minor"/>
      </rPr>
      <t>Inntekter 2016-2019</t>
    </r>
  </si>
  <si>
    <r>
      <t>5.</t>
    </r>
    <r>
      <rPr>
        <sz val="7"/>
        <color theme="1"/>
        <rFont val="Times New Roman"/>
        <family val="1"/>
      </rPr>
      <t xml:space="preserve">       </t>
    </r>
    <r>
      <rPr>
        <sz val="11"/>
        <color theme="1"/>
        <rFont val="Calibri"/>
        <family val="2"/>
        <scheme val="minor"/>
      </rPr>
      <t>Låneutgifter</t>
    </r>
  </si>
  <si>
    <r>
      <t>6.</t>
    </r>
    <r>
      <rPr>
        <sz val="7"/>
        <color theme="1"/>
        <rFont val="Times New Roman"/>
        <family val="1"/>
      </rPr>
      <t xml:space="preserve">       </t>
    </r>
    <r>
      <rPr>
        <sz val="11"/>
        <color theme="1"/>
        <rFont val="Calibri"/>
        <family val="2"/>
        <scheme val="minor"/>
      </rPr>
      <t>Gjeldsgrad</t>
    </r>
  </si>
  <si>
    <t>I henhold til Forskrift om årsbudsjett (for kommuner og fylkeskommuner), FOR -2013-11-27-1383 fra 01.01.2014, § 5, 7. avsnitt, skal investeringsbudsjettet settes opp i balanse, dvs at alle utgifter, utbetalinger og avsetninger skal dekkes inn av inntekter inkludert låneopptak.</t>
  </si>
  <si>
    <r>
      <t>3.</t>
    </r>
    <r>
      <rPr>
        <sz val="7"/>
        <color theme="1"/>
        <rFont val="Times New Roman"/>
        <family val="1"/>
      </rPr>
      <t xml:space="preserve">       </t>
    </r>
    <r>
      <rPr>
        <sz val="11"/>
        <color theme="1"/>
        <rFont val="Calibri"/>
        <family val="2"/>
        <scheme val="minor"/>
      </rPr>
      <t>B 2016-2019</t>
    </r>
  </si>
  <si>
    <r>
      <t>ü</t>
    </r>
    <r>
      <rPr>
        <sz val="7"/>
        <color theme="1"/>
        <rFont val="Times New Roman"/>
        <family val="1"/>
      </rPr>
      <t xml:space="preserve">  </t>
    </r>
    <r>
      <rPr>
        <sz val="11"/>
        <color theme="1"/>
        <rFont val="Calibri"/>
        <family val="2"/>
        <scheme val="minor"/>
      </rPr>
      <t xml:space="preserve"> Regnearket er låst fordi arket oppdateres automatisk ved endringer i arkfanene B 2016-2019, Inntekter 2016-2019 og låneutgifter.</t>
    </r>
  </si>
  <si>
    <r>
      <t>3.</t>
    </r>
    <r>
      <rPr>
        <b/>
        <sz val="7"/>
        <color rgb="FF4F81BD"/>
        <rFont val="Times New Roman"/>
        <family val="1"/>
      </rPr>
      <t xml:space="preserve">     </t>
    </r>
    <r>
      <rPr>
        <b/>
        <sz val="13"/>
        <color rgb="FF4F81BD"/>
        <rFont val="Cambria"/>
        <family val="1"/>
      </rPr>
      <t>B 2016-2019</t>
    </r>
  </si>
  <si>
    <r>
      <t>ü</t>
    </r>
    <r>
      <rPr>
        <sz val="7"/>
        <color theme="1"/>
        <rFont val="Times New Roman"/>
        <family val="1"/>
      </rPr>
      <t xml:space="preserve">  </t>
    </r>
    <r>
      <rPr>
        <sz val="11"/>
        <color theme="1"/>
        <rFont val="Calibri"/>
        <family val="2"/>
        <scheme val="minor"/>
      </rPr>
      <t>Markér endringer i denne arkfanen med annen farge slik at de enkle å spore.</t>
    </r>
  </si>
  <si>
    <r>
      <t>ü</t>
    </r>
    <r>
      <rPr>
        <sz val="7"/>
        <color theme="1"/>
        <rFont val="Times New Roman"/>
        <family val="1"/>
      </rPr>
      <t xml:space="preserve">  </t>
    </r>
    <r>
      <rPr>
        <sz val="11"/>
        <color theme="1"/>
        <rFont val="Calibri"/>
        <family val="2"/>
        <scheme val="minor"/>
      </rPr>
      <t>Blå linjer viser til eventuelle nye prosjekter lagt inn i forbindelse med politisk behandling innenfor hvert område. Disse hentes automatisk ved oppdatering av arkfanene nevnt i punktet over.</t>
    </r>
  </si>
  <si>
    <r>
      <t>ü</t>
    </r>
    <r>
      <rPr>
        <sz val="7"/>
        <color theme="1"/>
        <rFont val="Times New Roman"/>
        <family val="1"/>
      </rPr>
      <t xml:space="preserve">  </t>
    </r>
    <r>
      <rPr>
        <sz val="11"/>
        <color theme="1"/>
        <rFont val="Calibri"/>
        <family val="2"/>
        <scheme val="minor"/>
      </rPr>
      <t>Det er også lagt inn blå farge på felter/celler som har motpost i driftsbudsjettet. Dette gjelder linje 30, Betalt minimumsavdrag/stipulert minimumsavdrag, og linje 45, Betalte renter/anslag renter på eksterne lån.  Disse feltene vil bli oppdatert automatisk dersom det gjøres endringer på investeringsnivå, inntektsnivå, endring egenfinansiering investeringer eller avdrag utover minimumsavdrag. Eventuelle endrede beløp på minimumsavdrag og renter på eksterne lån må endres tilsvarende i driftstabellen linje 8 og 10.</t>
    </r>
  </si>
  <si>
    <t>Fremskyndes</t>
  </si>
  <si>
    <t>Byggestart 2019</t>
  </si>
  <si>
    <t>Bygges privat</t>
  </si>
  <si>
    <t>Utsettes</t>
  </si>
  <si>
    <t>Skatepark Stangeland</t>
  </si>
  <si>
    <t>Økning av ramme</t>
  </si>
  <si>
    <t xml:space="preserve"> Sola menighet andel i ny kirke</t>
  </si>
  <si>
    <t>Sola menighet andel i ny kirke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</si>
</sst>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_ ;\-#,##0\ "/>
    <numFmt numFmtId="166" formatCode="_ * #,##0.0000_ ;_ * \-#,##0.0000_ ;_ * &quot;-&quot;??_ ;_ @_ "/>
    <numFmt numFmtId="167" formatCode="_(* #,##0.00_);_(* \(#,##0.00\);_(* &quot;-&quot;??_);_(@_)"/>
    <numFmt numFmtId="168" formatCode="0_ ;\-0\ "/>
  </numFmts>
  <fonts count="22" x14ac:knownFonts="1">
    <font>
      <sz val="11"/>
      <color theme="1"/>
      <name val="Calibri"/>
      <family val="2"/>
      <scheme val="minor"/>
    </font>
    <font>
      <sz val="9"/>
      <color indexed="81"/>
      <name val="Tahoma"/>
      <family val="2"/>
    </font>
    <font>
      <b/>
      <sz val="9"/>
      <color indexed="81"/>
      <name val="Tahoma"/>
      <family val="2"/>
    </font>
    <font>
      <sz val="12"/>
      <name val="Arial"/>
      <family val="2"/>
    </font>
    <font>
      <sz val="10"/>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6"/>
      <color theme="1"/>
      <name val="Calibri"/>
      <family val="2"/>
      <scheme val="minor"/>
    </font>
    <font>
      <sz val="11"/>
      <color theme="0" tint="-0.34998626667073579"/>
      <name val="Calibri"/>
      <family val="2"/>
      <scheme val="minor"/>
    </font>
    <font>
      <b/>
      <sz val="11"/>
      <color theme="0" tint="-0.34998626667073579"/>
      <name val="Calibri"/>
      <family val="2"/>
      <scheme val="minor"/>
    </font>
    <font>
      <sz val="11"/>
      <color rgb="FF00B0F0"/>
      <name val="Calibri"/>
      <family val="2"/>
      <scheme val="minor"/>
    </font>
    <font>
      <b/>
      <sz val="11"/>
      <color rgb="FF00B0F0"/>
      <name val="Calibri"/>
      <family val="2"/>
      <scheme val="minor"/>
    </font>
    <font>
      <sz val="11"/>
      <name val="Calibri"/>
      <family val="2"/>
    </font>
    <font>
      <b/>
      <sz val="14"/>
      <color theme="1"/>
      <name val="Calibri"/>
      <family val="2"/>
      <scheme val="minor"/>
    </font>
    <font>
      <b/>
      <sz val="14"/>
      <color rgb="FF365F91"/>
      <name val="Cambria"/>
      <family val="1"/>
    </font>
    <font>
      <b/>
      <sz val="13"/>
      <color rgb="FF4F81BD"/>
      <name val="Cambria"/>
      <family val="1"/>
    </font>
    <font>
      <b/>
      <sz val="7"/>
      <color rgb="FF4F81BD"/>
      <name val="Times New Roman"/>
      <family val="1"/>
    </font>
    <font>
      <sz val="11"/>
      <color theme="1"/>
      <name val="Wingdings"/>
      <charset val="2"/>
    </font>
    <font>
      <sz val="7"/>
      <color theme="1"/>
      <name val="Times New Roman"/>
      <family val="1"/>
    </font>
  </fonts>
  <fills count="11">
    <fill>
      <patternFill patternType="none"/>
    </fill>
    <fill>
      <patternFill patternType="gray125"/>
    </fill>
    <fill>
      <patternFill patternType="solid">
        <fgColor theme="3" tint="0.79998168889431442"/>
        <bgColor indexed="64"/>
      </patternFill>
    </fill>
    <fill>
      <patternFill patternType="gray125">
        <bgColor theme="3" tint="0.79995117038483843"/>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F0"/>
        <bgColor indexed="64"/>
      </patternFill>
    </fill>
  </fills>
  <borders count="4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style="thin">
        <color auto="1"/>
      </top>
      <bottom/>
      <diagonal/>
    </border>
  </borders>
  <cellStyleXfs count="16">
    <xf numFmtId="0" fontId="0" fillId="0" borderId="0"/>
    <xf numFmtId="0" fontId="5" fillId="0" borderId="0"/>
    <xf numFmtId="0" fontId="4" fillId="0" borderId="0"/>
    <xf numFmtId="0" fontId="3" fillId="0" borderId="0"/>
    <xf numFmtId="0" fontId="5" fillId="0" borderId="0"/>
    <xf numFmtId="0" fontId="5" fillId="0" borderId="0"/>
    <xf numFmtId="0" fontId="4"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67" fontId="4" fillId="0" borderId="0" applyFont="0" applyFill="0" applyBorder="0" applyAlignment="0" applyProtection="0"/>
  </cellStyleXfs>
  <cellXfs count="344">
    <xf numFmtId="0" fontId="0" fillId="0" borderId="0" xfId="0"/>
    <xf numFmtId="0" fontId="0" fillId="0" borderId="0" xfId="0" applyAlignment="1">
      <alignment wrapText="1"/>
    </xf>
    <xf numFmtId="0" fontId="6" fillId="0" borderId="0" xfId="0" applyFont="1"/>
    <xf numFmtId="164" fontId="5" fillId="0" borderId="0" xfId="11" applyNumberFormat="1" applyFont="1"/>
    <xf numFmtId="0" fontId="0" fillId="0" borderId="0" xfId="0" applyFill="1"/>
    <xf numFmtId="164" fontId="5" fillId="0" borderId="0" xfId="11" applyNumberFormat="1" applyFont="1"/>
    <xf numFmtId="1" fontId="5" fillId="0" borderId="0" xfId="11" applyNumberFormat="1" applyFont="1"/>
    <xf numFmtId="164" fontId="6" fillId="0" borderId="0" xfId="11" applyNumberFormat="1" applyFont="1"/>
    <xf numFmtId="0" fontId="0" fillId="0" borderId="0" xfId="0" applyFont="1"/>
    <xf numFmtId="0" fontId="0" fillId="0" borderId="9" xfId="0" applyBorder="1"/>
    <xf numFmtId="0" fontId="0" fillId="0" borderId="0" xfId="0" applyBorder="1"/>
    <xf numFmtId="0" fontId="7" fillId="0" borderId="0" xfId="0" applyFont="1"/>
    <xf numFmtId="0" fontId="0" fillId="6" borderId="0" xfId="0" applyFill="1"/>
    <xf numFmtId="10" fontId="5" fillId="0" borderId="0" xfId="8" applyNumberFormat="1" applyFont="1"/>
    <xf numFmtId="0" fontId="10" fillId="0" borderId="0" xfId="0" applyFont="1"/>
    <xf numFmtId="0" fontId="0" fillId="0" borderId="0" xfId="0" quotePrefix="1"/>
    <xf numFmtId="0" fontId="7" fillId="0" borderId="0" xfId="0" quotePrefix="1" applyFont="1"/>
    <xf numFmtId="0" fontId="11" fillId="0" borderId="0" xfId="0" applyFont="1"/>
    <xf numFmtId="164" fontId="11" fillId="0" borderId="0" xfId="11" applyNumberFormat="1" applyFont="1"/>
    <xf numFmtId="164" fontId="11" fillId="0" borderId="9" xfId="11" applyNumberFormat="1" applyFont="1" applyBorder="1"/>
    <xf numFmtId="164" fontId="12" fillId="0" borderId="0" xfId="11" applyNumberFormat="1" applyFont="1"/>
    <xf numFmtId="1" fontId="11" fillId="0" borderId="0" xfId="11" applyNumberFormat="1" applyFont="1"/>
    <xf numFmtId="164" fontId="11" fillId="7" borderId="0" xfId="11" applyNumberFormat="1" applyFont="1" applyFill="1"/>
    <xf numFmtId="164" fontId="0" fillId="0" borderId="0" xfId="0" applyNumberFormat="1"/>
    <xf numFmtId="164" fontId="6" fillId="0" borderId="0" xfId="0" applyNumberFormat="1" applyFont="1"/>
    <xf numFmtId="166" fontId="5" fillId="0" borderId="0" xfId="11" applyNumberFormat="1" applyFont="1"/>
    <xf numFmtId="164" fontId="12" fillId="0" borderId="0" xfId="0" applyNumberFormat="1" applyFont="1"/>
    <xf numFmtId="164" fontId="7" fillId="0" borderId="0" xfId="11" applyNumberFormat="1" applyFont="1"/>
    <xf numFmtId="164" fontId="5" fillId="0" borderId="0" xfId="11" applyNumberFormat="1" applyFont="1"/>
    <xf numFmtId="164" fontId="5" fillId="5" borderId="0" xfId="11" applyNumberFormat="1" applyFont="1" applyFill="1"/>
    <xf numFmtId="10" fontId="6" fillId="0" borderId="0" xfId="8" applyNumberFormat="1" applyFont="1"/>
    <xf numFmtId="0" fontId="0" fillId="8" borderId="0" xfId="0" applyFill="1"/>
    <xf numFmtId="164" fontId="6" fillId="0" borderId="0" xfId="11" applyNumberFormat="1" applyFont="1"/>
    <xf numFmtId="10" fontId="5" fillId="0" borderId="0" xfId="8" applyNumberFormat="1" applyFont="1"/>
    <xf numFmtId="166" fontId="11" fillId="0" borderId="0" xfId="11" applyNumberFormat="1" applyFont="1"/>
    <xf numFmtId="164" fontId="5" fillId="0" borderId="0" xfId="11" applyNumberFormat="1" applyFont="1"/>
    <xf numFmtId="3" fontId="11" fillId="0" borderId="0" xfId="0" applyNumberFormat="1" applyFont="1" applyAlignment="1">
      <alignment horizontal="right"/>
    </xf>
    <xf numFmtId="164" fontId="0" fillId="0" borderId="0" xfId="11" applyNumberFormat="1" applyFont="1"/>
    <xf numFmtId="10" fontId="0" fillId="0" borderId="0" xfId="8" applyNumberFormat="1" applyFont="1"/>
    <xf numFmtId="3" fontId="0" fillId="0" borderId="0" xfId="0" applyNumberFormat="1"/>
    <xf numFmtId="0" fontId="0" fillId="0" borderId="0" xfId="0"/>
    <xf numFmtId="0" fontId="6" fillId="0" borderId="0" xfId="0" applyFont="1"/>
    <xf numFmtId="164" fontId="5" fillId="0" borderId="0" xfId="11" applyNumberFormat="1" applyFont="1"/>
    <xf numFmtId="164" fontId="5" fillId="0" borderId="0" xfId="11" applyNumberFormat="1" applyFont="1" applyFill="1"/>
    <xf numFmtId="164" fontId="0" fillId="0" borderId="0" xfId="11" applyNumberFormat="1" applyFont="1"/>
    <xf numFmtId="0" fontId="0" fillId="0" borderId="8" xfId="0" applyBorder="1"/>
    <xf numFmtId="0" fontId="6" fillId="0" borderId="8" xfId="0" applyFont="1" applyFill="1" applyBorder="1"/>
    <xf numFmtId="9" fontId="0" fillId="0" borderId="0" xfId="0" applyNumberFormat="1"/>
    <xf numFmtId="0" fontId="0" fillId="0" borderId="0" xfId="0" applyAlignment="1">
      <alignment vertical="center"/>
    </xf>
    <xf numFmtId="0" fontId="9" fillId="0" borderId="0" xfId="0" applyFont="1" applyAlignment="1">
      <alignment vertical="center"/>
    </xf>
    <xf numFmtId="164" fontId="9" fillId="0" borderId="8" xfId="11" applyNumberFormat="1" applyFont="1" applyBorder="1" applyAlignment="1">
      <alignment vertical="center"/>
    </xf>
    <xf numFmtId="0" fontId="9" fillId="0" borderId="0" xfId="0" applyFont="1" applyFill="1" applyAlignment="1">
      <alignment vertical="center"/>
    </xf>
    <xf numFmtId="0" fontId="6" fillId="0" borderId="0" xfId="0" applyFont="1" applyAlignment="1">
      <alignment wrapText="1"/>
    </xf>
    <xf numFmtId="0" fontId="9" fillId="0" borderId="0" xfId="0" applyFont="1" applyFill="1" applyBorder="1" applyAlignment="1">
      <alignment vertical="center"/>
    </xf>
    <xf numFmtId="10" fontId="5" fillId="8" borderId="0" xfId="8" applyNumberFormat="1" applyFont="1" applyFill="1"/>
    <xf numFmtId="10" fontId="0" fillId="8" borderId="0" xfId="8" applyNumberFormat="1" applyFont="1" applyFill="1"/>
    <xf numFmtId="0" fontId="9" fillId="0" borderId="8" xfId="0" applyFont="1" applyFill="1" applyBorder="1" applyAlignment="1">
      <alignment vertical="center" wrapText="1"/>
    </xf>
    <xf numFmtId="0" fontId="9" fillId="0" borderId="8" xfId="0" applyFont="1" applyFill="1" applyBorder="1" applyAlignment="1">
      <alignment horizontal="center" vertical="center"/>
    </xf>
    <xf numFmtId="0" fontId="9" fillId="0" borderId="5" xfId="0" applyFont="1" applyFill="1" applyBorder="1" applyAlignment="1">
      <alignment vertical="center"/>
    </xf>
    <xf numFmtId="0" fontId="9" fillId="0" borderId="7" xfId="0" applyFont="1" applyFill="1" applyBorder="1" applyAlignment="1">
      <alignment vertical="center" wrapText="1"/>
    </xf>
    <xf numFmtId="0" fontId="0" fillId="0" borderId="0" xfId="0"/>
    <xf numFmtId="0" fontId="0" fillId="0" borderId="0" xfId="0"/>
    <xf numFmtId="0" fontId="9" fillId="0" borderId="8" xfId="0" applyFont="1" applyBorder="1" applyAlignment="1">
      <alignment vertical="center" wrapText="1"/>
    </xf>
    <xf numFmtId="0" fontId="0" fillId="0" borderId="0" xfId="0"/>
    <xf numFmtId="164" fontId="0" fillId="0" borderId="0" xfId="11" applyNumberFormat="1" applyFont="1"/>
    <xf numFmtId="0" fontId="9" fillId="0" borderId="0" xfId="0" applyFont="1"/>
    <xf numFmtId="0" fontId="8" fillId="0" borderId="0" xfId="0" applyFont="1"/>
    <xf numFmtId="0" fontId="0" fillId="0" borderId="0" xfId="0" applyFill="1" applyAlignment="1">
      <alignment vertical="center"/>
    </xf>
    <xf numFmtId="0" fontId="8" fillId="0" borderId="13" xfId="0" applyFont="1" applyFill="1" applyBorder="1" applyAlignment="1">
      <alignment vertical="center" wrapText="1"/>
    </xf>
    <xf numFmtId="0" fontId="9" fillId="0" borderId="8" xfId="0" applyFont="1" applyBorder="1" applyAlignment="1">
      <alignment vertical="center"/>
    </xf>
    <xf numFmtId="0" fontId="9" fillId="0" borderId="0" xfId="0" applyFont="1" applyFill="1"/>
    <xf numFmtId="0" fontId="9" fillId="0" borderId="0" xfId="0" applyFont="1" applyFill="1" applyBorder="1"/>
    <xf numFmtId="0" fontId="9" fillId="0" borderId="0" xfId="0" applyFont="1" applyBorder="1"/>
    <xf numFmtId="0" fontId="13" fillId="0" borderId="0" xfId="0" applyFont="1" applyFill="1"/>
    <xf numFmtId="164" fontId="14" fillId="0" borderId="0" xfId="11" applyNumberFormat="1" applyFont="1"/>
    <xf numFmtId="0" fontId="13" fillId="0" borderId="0" xfId="0" applyFont="1"/>
    <xf numFmtId="164" fontId="13" fillId="0" borderId="0" xfId="0" applyNumberFormat="1" applyFont="1"/>
    <xf numFmtId="164" fontId="8" fillId="0" borderId="0" xfId="11" applyNumberFormat="1" applyFont="1"/>
    <xf numFmtId="164" fontId="9" fillId="0" borderId="0" xfId="11" applyNumberFormat="1" applyFont="1"/>
    <xf numFmtId="164" fontId="9" fillId="0" borderId="0" xfId="11" applyNumberFormat="1" applyFont="1" applyBorder="1"/>
    <xf numFmtId="9" fontId="5" fillId="0" borderId="0" xfId="8" applyNumberFormat="1" applyFont="1"/>
    <xf numFmtId="164" fontId="0" fillId="0" borderId="8" xfId="11" applyNumberFormat="1" applyFont="1" applyBorder="1"/>
    <xf numFmtId="0" fontId="0" fillId="0" borderId="8" xfId="0" applyFill="1" applyBorder="1"/>
    <xf numFmtId="0" fontId="0" fillId="2" borderId="8" xfId="0" applyFill="1" applyBorder="1" applyAlignment="1">
      <alignment vertical="center"/>
    </xf>
    <xf numFmtId="164" fontId="5" fillId="2" borderId="8" xfId="11" applyNumberFormat="1" applyFont="1" applyFill="1" applyBorder="1" applyAlignment="1">
      <alignment vertical="center" wrapText="1"/>
    </xf>
    <xf numFmtId="0" fontId="0" fillId="2" borderId="8" xfId="0" applyFill="1" applyBorder="1" applyAlignment="1">
      <alignment vertical="center" wrapText="1"/>
    </xf>
    <xf numFmtId="0" fontId="0" fillId="2" borderId="8" xfId="0" applyFill="1" applyBorder="1" applyAlignment="1">
      <alignment horizontal="center" vertical="center"/>
    </xf>
    <xf numFmtId="43" fontId="5" fillId="0" borderId="8" xfId="11" applyFont="1" applyBorder="1" applyAlignment="1">
      <alignment horizontal="center" vertical="center"/>
    </xf>
    <xf numFmtId="3" fontId="5" fillId="0" borderId="8" xfId="11" applyNumberFormat="1" applyFont="1" applyBorder="1"/>
    <xf numFmtId="0" fontId="0" fillId="0" borderId="8" xfId="0" applyFill="1" applyBorder="1" applyAlignment="1">
      <alignment horizontal="center"/>
    </xf>
    <xf numFmtId="3" fontId="5" fillId="0" borderId="8" xfId="11" applyNumberFormat="1" applyFont="1" applyFill="1" applyBorder="1"/>
    <xf numFmtId="0" fontId="0" fillId="0" borderId="8" xfId="0" applyBorder="1" applyAlignment="1">
      <alignment horizontal="center"/>
    </xf>
    <xf numFmtId="164" fontId="5" fillId="0" borderId="8" xfId="11" applyNumberFormat="1" applyFont="1" applyBorder="1"/>
    <xf numFmtId="0" fontId="6" fillId="2" borderId="8" xfId="0" applyFont="1" applyFill="1" applyBorder="1"/>
    <xf numFmtId="1" fontId="5" fillId="0" borderId="8" xfId="11" applyNumberFormat="1" applyFont="1" applyFill="1" applyBorder="1" applyAlignment="1">
      <alignment horizontal="center" vertical="center"/>
    </xf>
    <xf numFmtId="0" fontId="6" fillId="0" borderId="8" xfId="0" applyFont="1" applyFill="1" applyBorder="1" applyAlignment="1">
      <alignment horizontal="center"/>
    </xf>
    <xf numFmtId="0" fontId="6" fillId="0" borderId="8" xfId="0" applyFont="1" applyBorder="1"/>
    <xf numFmtId="0" fontId="6" fillId="0" borderId="8" xfId="0" applyFont="1" applyBorder="1" applyAlignment="1">
      <alignment horizontal="center"/>
    </xf>
    <xf numFmtId="0" fontId="0" fillId="2" borderId="8" xfId="0" applyFill="1" applyBorder="1"/>
    <xf numFmtId="0" fontId="6" fillId="2" borderId="8" xfId="0" applyFont="1" applyFill="1" applyBorder="1" applyAlignment="1">
      <alignment horizontal="center"/>
    </xf>
    <xf numFmtId="1" fontId="0" fillId="0" borderId="8" xfId="11" applyNumberFormat="1" applyFont="1" applyBorder="1" applyAlignment="1">
      <alignment horizontal="center"/>
    </xf>
    <xf numFmtId="0" fontId="6" fillId="2" borderId="8" xfId="0" applyFont="1" applyFill="1" applyBorder="1" applyAlignment="1">
      <alignment vertical="center"/>
    </xf>
    <xf numFmtId="3" fontId="0" fillId="0" borderId="8" xfId="11" applyNumberFormat="1" applyFont="1" applyFill="1" applyBorder="1"/>
    <xf numFmtId="0" fontId="9" fillId="0" borderId="0" xfId="0" applyFont="1" applyBorder="1" applyAlignment="1">
      <alignment wrapText="1"/>
    </xf>
    <xf numFmtId="0" fontId="8" fillId="0" borderId="12" xfId="0" applyFont="1" applyFill="1" applyBorder="1" applyAlignment="1">
      <alignment vertical="center" wrapText="1"/>
    </xf>
    <xf numFmtId="0" fontId="9" fillId="0" borderId="7" xfId="0" applyFont="1" applyFill="1" applyBorder="1" applyAlignment="1">
      <alignment horizontal="center" vertical="center"/>
    </xf>
    <xf numFmtId="0" fontId="9" fillId="0" borderId="4" xfId="0" applyFont="1" applyFill="1" applyBorder="1" applyAlignment="1">
      <alignment vertical="center"/>
    </xf>
    <xf numFmtId="164" fontId="9" fillId="0" borderId="8" xfId="11" applyNumberFormat="1" applyFont="1" applyFill="1" applyBorder="1" applyAlignment="1">
      <alignment vertical="center"/>
    </xf>
    <xf numFmtId="0" fontId="9" fillId="0" borderId="5" xfId="0" applyFont="1" applyFill="1" applyBorder="1" applyAlignment="1">
      <alignment vertical="center" wrapText="1"/>
    </xf>
    <xf numFmtId="0" fontId="9" fillId="0" borderId="6" xfId="0" applyFont="1" applyFill="1" applyBorder="1" applyAlignment="1">
      <alignment vertical="center"/>
    </xf>
    <xf numFmtId="165" fontId="9" fillId="0" borderId="4" xfId="11" applyNumberFormat="1" applyFont="1" applyFill="1" applyBorder="1" applyAlignment="1">
      <alignment vertical="center"/>
    </xf>
    <xf numFmtId="0" fontId="8" fillId="0" borderId="14" xfId="0" applyFont="1" applyFill="1" applyBorder="1" applyAlignment="1">
      <alignment vertical="center" wrapText="1"/>
    </xf>
    <xf numFmtId="164" fontId="9" fillId="0" borderId="15" xfId="11" applyNumberFormat="1" applyFont="1" applyFill="1" applyBorder="1" applyAlignment="1">
      <alignment vertical="center"/>
    </xf>
    <xf numFmtId="0" fontId="8" fillId="0" borderId="0" xfId="0" applyFont="1" applyBorder="1" applyAlignment="1">
      <alignment wrapText="1"/>
    </xf>
    <xf numFmtId="164" fontId="8" fillId="0" borderId="0" xfId="0" applyNumberFormat="1" applyFont="1" applyBorder="1"/>
    <xf numFmtId="9" fontId="9" fillId="0" borderId="0" xfId="8" applyFont="1" applyBorder="1"/>
    <xf numFmtId="0" fontId="9" fillId="0" borderId="0" xfId="0" applyFont="1" applyBorder="1" applyAlignment="1">
      <alignment horizontal="center"/>
    </xf>
    <xf numFmtId="165" fontId="9" fillId="0" borderId="0" xfId="11" applyNumberFormat="1" applyFont="1" applyBorder="1"/>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165" fontId="9" fillId="0" borderId="0" xfId="11" applyNumberFormat="1" applyFont="1" applyFill="1" applyBorder="1" applyAlignment="1">
      <alignment vertical="center"/>
    </xf>
    <xf numFmtId="0" fontId="9" fillId="0" borderId="0" xfId="0" applyFont="1" applyFill="1" applyBorder="1" applyAlignment="1">
      <alignment wrapText="1"/>
    </xf>
    <xf numFmtId="165" fontId="9" fillId="0" borderId="0" xfId="0" applyNumberFormat="1" applyFont="1" applyBorder="1" applyAlignment="1">
      <alignment wrapText="1"/>
    </xf>
    <xf numFmtId="164" fontId="8" fillId="0" borderId="0" xfId="0" applyNumberFormat="1" applyFont="1" applyFill="1" applyBorder="1"/>
    <xf numFmtId="0" fontId="8" fillId="9" borderId="1" xfId="0" applyFont="1" applyFill="1" applyBorder="1" applyAlignment="1">
      <alignment wrapText="1"/>
    </xf>
    <xf numFmtId="0" fontId="8" fillId="9" borderId="2" xfId="0" applyFont="1" applyFill="1" applyBorder="1" applyAlignment="1">
      <alignment wrapText="1"/>
    </xf>
    <xf numFmtId="0" fontId="8" fillId="9" borderId="3" xfId="0" applyFont="1" applyFill="1" applyBorder="1" applyAlignment="1">
      <alignment wrapText="1"/>
    </xf>
    <xf numFmtId="9" fontId="9" fillId="0" borderId="12" xfId="8" applyFont="1" applyFill="1" applyBorder="1" applyAlignment="1">
      <alignment vertical="center"/>
    </xf>
    <xf numFmtId="164" fontId="9" fillId="0" borderId="7" xfId="11" applyNumberFormat="1" applyFont="1" applyFill="1" applyBorder="1" applyAlignment="1">
      <alignment vertical="center"/>
    </xf>
    <xf numFmtId="164" fontId="9" fillId="0" borderId="4" xfId="11" applyNumberFormat="1" applyFont="1" applyFill="1" applyBorder="1" applyAlignment="1">
      <alignment vertical="center"/>
    </xf>
    <xf numFmtId="9" fontId="9" fillId="0" borderId="13" xfId="8" applyFont="1" applyFill="1" applyBorder="1" applyAlignment="1">
      <alignment vertical="center"/>
    </xf>
    <xf numFmtId="164" fontId="9" fillId="0" borderId="5" xfId="11" applyNumberFormat="1" applyFont="1" applyFill="1" applyBorder="1" applyAlignment="1">
      <alignment vertical="center"/>
    </xf>
    <xf numFmtId="164" fontId="9" fillId="0" borderId="6" xfId="11" applyNumberFormat="1" applyFont="1" applyFill="1" applyBorder="1" applyAlignment="1">
      <alignment vertical="center"/>
    </xf>
    <xf numFmtId="0" fontId="9" fillId="0" borderId="4" xfId="0" applyFont="1" applyFill="1" applyBorder="1" applyAlignment="1">
      <alignment vertical="center" wrapText="1"/>
    </xf>
    <xf numFmtId="3" fontId="8" fillId="9" borderId="20" xfId="11" applyNumberFormat="1" applyFont="1" applyFill="1" applyBorder="1" applyAlignment="1">
      <alignment horizontal="center" vertical="center" wrapText="1"/>
    </xf>
    <xf numFmtId="3" fontId="9" fillId="0" borderId="21" xfId="11" applyNumberFormat="1" applyFont="1" applyFill="1" applyBorder="1" applyAlignment="1">
      <alignment vertical="center"/>
    </xf>
    <xf numFmtId="3" fontId="9" fillId="0" borderId="22" xfId="11" applyNumberFormat="1" applyFont="1" applyFill="1" applyBorder="1" applyAlignment="1">
      <alignment vertical="center" wrapText="1"/>
    </xf>
    <xf numFmtId="3" fontId="9" fillId="0" borderId="22" xfId="11" applyNumberFormat="1" applyFont="1" applyFill="1" applyBorder="1" applyAlignment="1">
      <alignment vertical="center"/>
    </xf>
    <xf numFmtId="3" fontId="9" fillId="0" borderId="21" xfId="11" applyNumberFormat="1" applyFont="1" applyFill="1" applyBorder="1" applyAlignment="1">
      <alignment vertical="center" wrapText="1"/>
    </xf>
    <xf numFmtId="3" fontId="9" fillId="0" borderId="0" xfId="11" applyNumberFormat="1" applyFont="1" applyBorder="1"/>
    <xf numFmtId="3" fontId="8" fillId="0" borderId="0" xfId="11" applyNumberFormat="1" applyFont="1" applyBorder="1"/>
    <xf numFmtId="164" fontId="5" fillId="8" borderId="8" xfId="11" applyNumberFormat="1" applyFont="1" applyFill="1" applyBorder="1"/>
    <xf numFmtId="0" fontId="0" fillId="0" borderId="5" xfId="0" applyBorder="1"/>
    <xf numFmtId="0" fontId="0" fillId="0" borderId="5" xfId="0" applyFill="1" applyBorder="1"/>
    <xf numFmtId="164" fontId="6" fillId="4" borderId="15" xfId="11" applyNumberFormat="1" applyFont="1" applyFill="1" applyBorder="1"/>
    <xf numFmtId="0" fontId="0" fillId="0" borderId="6" xfId="0" applyBorder="1"/>
    <xf numFmtId="0" fontId="9" fillId="0" borderId="5" xfId="0" applyFont="1" applyBorder="1" applyAlignment="1">
      <alignment vertical="center" wrapText="1"/>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9" fillId="0" borderId="3" xfId="0" applyFont="1" applyFill="1" applyBorder="1" applyAlignment="1">
      <alignment vertical="center"/>
    </xf>
    <xf numFmtId="0" fontId="9" fillId="0" borderId="30" xfId="0" applyFont="1" applyFill="1" applyBorder="1" applyAlignment="1">
      <alignment vertical="center"/>
    </xf>
    <xf numFmtId="0" fontId="9" fillId="0" borderId="30" xfId="0" applyFont="1" applyFill="1" applyBorder="1" applyAlignment="1">
      <alignment vertical="center" wrapText="1"/>
    </xf>
    <xf numFmtId="0" fontId="9" fillId="0" borderId="31" xfId="0" applyFont="1" applyFill="1" applyBorder="1" applyAlignment="1">
      <alignment vertical="center"/>
    </xf>
    <xf numFmtId="0" fontId="8" fillId="9" borderId="29" xfId="0" applyFont="1" applyFill="1" applyBorder="1" applyAlignment="1">
      <alignment vertical="center" wrapText="1"/>
    </xf>
    <xf numFmtId="0" fontId="8" fillId="9" borderId="30" xfId="0" applyFont="1" applyFill="1" applyBorder="1" applyAlignment="1">
      <alignment vertical="center"/>
    </xf>
    <xf numFmtId="0" fontId="8" fillId="9" borderId="30" xfId="0" applyFont="1" applyFill="1" applyBorder="1" applyAlignment="1">
      <alignment vertical="center" wrapText="1"/>
    </xf>
    <xf numFmtId="0" fontId="8" fillId="9" borderId="31" xfId="0" applyFont="1" applyFill="1" applyBorder="1" applyAlignment="1">
      <alignment vertical="center"/>
    </xf>
    <xf numFmtId="0" fontId="9" fillId="0" borderId="7" xfId="0" applyFont="1" applyBorder="1" applyAlignment="1">
      <alignment vertical="center" wrapText="1"/>
    </xf>
    <xf numFmtId="0" fontId="9" fillId="0" borderId="7" xfId="0" applyFont="1" applyBorder="1" applyAlignment="1">
      <alignment vertical="center"/>
    </xf>
    <xf numFmtId="164" fontId="9" fillId="0" borderId="7" xfId="11" applyNumberFormat="1" applyFont="1" applyBorder="1" applyAlignment="1">
      <alignment vertical="center"/>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vertical="center"/>
    </xf>
    <xf numFmtId="0" fontId="9" fillId="0" borderId="3" xfId="0" applyFont="1" applyBorder="1" applyAlignment="1">
      <alignment vertical="center" wrapText="1"/>
    </xf>
    <xf numFmtId="168" fontId="5" fillId="9" borderId="7" xfId="11" applyNumberFormat="1" applyFont="1" applyFill="1" applyBorder="1"/>
    <xf numFmtId="0" fontId="0" fillId="9" borderId="4" xfId="0" applyFill="1" applyBorder="1"/>
    <xf numFmtId="0" fontId="8" fillId="0" borderId="29" xfId="0" applyFont="1" applyFill="1" applyBorder="1" applyAlignment="1">
      <alignment horizontal="left" vertical="center" wrapText="1"/>
    </xf>
    <xf numFmtId="0" fontId="8" fillId="0" borderId="1" xfId="0" applyFont="1" applyFill="1" applyBorder="1" applyAlignment="1">
      <alignment horizontal="left" vertical="center" wrapText="1"/>
    </xf>
    <xf numFmtId="3" fontId="9" fillId="8" borderId="30" xfId="0" applyNumberFormat="1" applyFont="1" applyFill="1" applyBorder="1" applyAlignment="1">
      <alignment vertical="center"/>
    </xf>
    <xf numFmtId="3" fontId="9" fillId="8" borderId="2" xfId="0" applyNumberFormat="1" applyFont="1" applyFill="1" applyBorder="1" applyAlignment="1">
      <alignment vertical="center"/>
    </xf>
    <xf numFmtId="3" fontId="9" fillId="8" borderId="7" xfId="11" applyNumberFormat="1" applyFont="1" applyFill="1" applyBorder="1" applyAlignment="1">
      <alignment vertical="center"/>
    </xf>
    <xf numFmtId="3" fontId="9" fillId="8" borderId="8" xfId="11" applyNumberFormat="1" applyFont="1" applyFill="1" applyBorder="1" applyAlignment="1">
      <alignment vertical="center"/>
    </xf>
    <xf numFmtId="3" fontId="9" fillId="8" borderId="2" xfId="11" applyNumberFormat="1" applyFont="1" applyFill="1" applyBorder="1" applyAlignment="1">
      <alignment vertical="center"/>
    </xf>
    <xf numFmtId="3" fontId="8" fillId="8" borderId="8" xfId="11" applyNumberFormat="1" applyFont="1" applyFill="1" applyBorder="1" applyAlignment="1">
      <alignment vertical="center"/>
    </xf>
    <xf numFmtId="3" fontId="9" fillId="8" borderId="8" xfId="0" applyNumberFormat="1" applyFont="1" applyFill="1" applyBorder="1" applyAlignment="1">
      <alignment vertical="center"/>
    </xf>
    <xf numFmtId="3" fontId="9" fillId="8" borderId="7" xfId="0" applyNumberFormat="1" applyFont="1" applyFill="1" applyBorder="1" applyAlignment="1">
      <alignment vertical="center"/>
    </xf>
    <xf numFmtId="164" fontId="9" fillId="10" borderId="0" xfId="11" applyNumberFormat="1" applyFont="1" applyFill="1" applyBorder="1"/>
    <xf numFmtId="164" fontId="9" fillId="0" borderId="0" xfId="11" applyNumberFormat="1" applyFont="1" applyFill="1"/>
    <xf numFmtId="164" fontId="9" fillId="5" borderId="0" xfId="11" applyNumberFormat="1" applyFont="1" applyFill="1"/>
    <xf numFmtId="164" fontId="9" fillId="7" borderId="0" xfId="11" applyNumberFormat="1" applyFont="1" applyFill="1"/>
    <xf numFmtId="164" fontId="9" fillId="0" borderId="9" xfId="11" applyNumberFormat="1" applyFont="1" applyBorder="1"/>
    <xf numFmtId="1" fontId="9" fillId="0" borderId="0" xfId="11" applyNumberFormat="1" applyFont="1"/>
    <xf numFmtId="3" fontId="9" fillId="0" borderId="0" xfId="11" applyNumberFormat="1" applyFont="1"/>
    <xf numFmtId="10" fontId="9" fillId="0" borderId="0" xfId="0" applyNumberFormat="1" applyFont="1"/>
    <xf numFmtId="10" fontId="9" fillId="0" borderId="0" xfId="8" applyNumberFormat="1" applyFont="1"/>
    <xf numFmtId="164" fontId="8" fillId="10" borderId="0" xfId="11" applyNumberFormat="1" applyFont="1" applyFill="1"/>
    <xf numFmtId="0" fontId="9" fillId="0" borderId="9" xfId="0" applyFont="1" applyBorder="1"/>
    <xf numFmtId="0" fontId="9" fillId="0" borderId="35" xfId="0" applyFont="1" applyFill="1" applyBorder="1" applyAlignment="1">
      <alignment vertical="center" wrapText="1"/>
    </xf>
    <xf numFmtId="0" fontId="9" fillId="0" borderId="35" xfId="0" applyFont="1" applyFill="1" applyBorder="1" applyAlignment="1">
      <alignment vertical="center"/>
    </xf>
    <xf numFmtId="3" fontId="9" fillId="8" borderId="35" xfId="11" applyNumberFormat="1" applyFont="1" applyFill="1" applyBorder="1" applyAlignment="1">
      <alignment vertical="center"/>
    </xf>
    <xf numFmtId="0" fontId="9" fillId="0" borderId="36" xfId="0" applyFont="1" applyFill="1" applyBorder="1" applyAlignment="1">
      <alignment vertical="center" wrapText="1"/>
    </xf>
    <xf numFmtId="0" fontId="9" fillId="0" borderId="18" xfId="0" applyFont="1" applyBorder="1" applyAlignment="1">
      <alignment vertical="center"/>
    </xf>
    <xf numFmtId="3" fontId="9" fillId="8" borderId="37" xfId="11" applyNumberFormat="1" applyFont="1" applyFill="1" applyBorder="1" applyAlignment="1">
      <alignment vertical="center"/>
    </xf>
    <xf numFmtId="3" fontId="9" fillId="8" borderId="10" xfId="11" applyNumberFormat="1" applyFont="1" applyFill="1" applyBorder="1" applyAlignment="1">
      <alignment vertical="center"/>
    </xf>
    <xf numFmtId="3" fontId="9" fillId="8" borderId="35" xfId="0" applyNumberFormat="1" applyFont="1" applyFill="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wrapText="1"/>
    </xf>
    <xf numFmtId="3" fontId="9" fillId="8" borderId="37" xfId="0" applyNumberFormat="1" applyFont="1" applyFill="1" applyBorder="1" applyAlignment="1">
      <alignment vertical="center"/>
    </xf>
    <xf numFmtId="0" fontId="8" fillId="0" borderId="42" xfId="0" applyFont="1" applyFill="1" applyBorder="1" applyAlignment="1">
      <alignment vertical="center" wrapText="1"/>
    </xf>
    <xf numFmtId="0" fontId="9" fillId="0" borderId="35" xfId="0" applyFont="1" applyFill="1" applyBorder="1" applyAlignment="1">
      <alignment horizontal="center" vertical="center"/>
    </xf>
    <xf numFmtId="0" fontId="9" fillId="0" borderId="36" xfId="0" applyFont="1" applyFill="1" applyBorder="1" applyAlignment="1">
      <alignment vertical="center"/>
    </xf>
    <xf numFmtId="3" fontId="9" fillId="0" borderId="44" xfId="11" applyNumberFormat="1" applyFont="1" applyFill="1" applyBorder="1" applyAlignment="1">
      <alignment vertical="center"/>
    </xf>
    <xf numFmtId="164" fontId="9" fillId="0" borderId="35" xfId="11" applyNumberFormat="1" applyFont="1" applyFill="1" applyBorder="1" applyAlignment="1">
      <alignment vertical="center"/>
    </xf>
    <xf numFmtId="164" fontId="9" fillId="0" borderId="36" xfId="11" applyNumberFormat="1" applyFont="1" applyFill="1" applyBorder="1" applyAlignment="1">
      <alignment vertical="center"/>
    </xf>
    <xf numFmtId="0" fontId="8" fillId="0" borderId="1" xfId="0" applyFont="1" applyBorder="1" applyAlignment="1">
      <alignment vertical="center"/>
    </xf>
    <xf numFmtId="0" fontId="8" fillId="9" borderId="30" xfId="0" applyFont="1" applyFill="1" applyBorder="1" applyAlignment="1">
      <alignment horizontal="center" vertical="center" wrapText="1"/>
    </xf>
    <xf numFmtId="165" fontId="8" fillId="9" borderId="30" xfId="11" applyNumberFormat="1" applyFont="1" applyFill="1" applyBorder="1" applyAlignment="1">
      <alignment vertical="center" wrapText="1"/>
    </xf>
    <xf numFmtId="0" fontId="8" fillId="9" borderId="30" xfId="11" applyNumberFormat="1" applyFont="1" applyFill="1" applyBorder="1" applyAlignment="1">
      <alignment horizontal="center" vertical="center" wrapText="1"/>
    </xf>
    <xf numFmtId="0" fontId="8" fillId="9" borderId="31" xfId="0" applyFont="1" applyFill="1" applyBorder="1" applyAlignment="1">
      <alignment vertical="center" wrapText="1"/>
    </xf>
    <xf numFmtId="3" fontId="9" fillId="0" borderId="8" xfId="11" applyNumberFormat="1" applyFont="1" applyFill="1" applyBorder="1" applyAlignment="1">
      <alignment vertical="center"/>
    </xf>
    <xf numFmtId="0" fontId="9" fillId="0" borderId="23" xfId="0" applyFont="1" applyFill="1" applyBorder="1" applyAlignment="1">
      <alignment vertical="center"/>
    </xf>
    <xf numFmtId="0" fontId="9" fillId="8" borderId="8" xfId="0" applyFont="1" applyFill="1" applyBorder="1" applyAlignment="1">
      <alignment vertical="center" wrapText="1"/>
    </xf>
    <xf numFmtId="0" fontId="9" fillId="8" borderId="8" xfId="0" applyFont="1" applyFill="1" applyBorder="1" applyAlignment="1">
      <alignment horizontal="center" vertical="center"/>
    </xf>
    <xf numFmtId="0" fontId="9" fillId="8" borderId="15" xfId="0" applyFont="1" applyFill="1" applyBorder="1" applyAlignment="1">
      <alignment vertical="center"/>
    </xf>
    <xf numFmtId="9" fontId="9" fillId="8" borderId="13" xfId="8" applyFont="1" applyFill="1" applyBorder="1" applyAlignment="1">
      <alignment vertical="center"/>
    </xf>
    <xf numFmtId="9" fontId="9" fillId="8" borderId="14" xfId="8" applyFont="1" applyFill="1" applyBorder="1" applyAlignment="1">
      <alignment vertical="center"/>
    </xf>
    <xf numFmtId="0" fontId="9" fillId="8" borderId="35" xfId="0" applyFont="1" applyFill="1" applyBorder="1" applyAlignment="1">
      <alignment vertical="center"/>
    </xf>
    <xf numFmtId="0" fontId="9" fillId="0" borderId="44" xfId="0" applyFont="1" applyFill="1" applyBorder="1" applyAlignment="1">
      <alignment vertical="center"/>
    </xf>
    <xf numFmtId="9" fontId="9" fillId="8" borderId="42" xfId="8" applyFont="1" applyFill="1" applyBorder="1" applyAlignment="1">
      <alignment vertical="center"/>
    </xf>
    <xf numFmtId="9" fontId="9" fillId="8" borderId="40" xfId="8" applyFont="1" applyFill="1" applyBorder="1" applyAlignment="1">
      <alignment vertical="center"/>
    </xf>
    <xf numFmtId="9" fontId="9" fillId="8" borderId="14" xfId="8" applyFont="1" applyFill="1" applyBorder="1"/>
    <xf numFmtId="0" fontId="8" fillId="0" borderId="42" xfId="0" applyFont="1" applyFill="1" applyBorder="1" applyAlignment="1">
      <alignment vertical="center"/>
    </xf>
    <xf numFmtId="0" fontId="9" fillId="8" borderId="35" xfId="0" applyFont="1" applyFill="1" applyBorder="1"/>
    <xf numFmtId="0" fontId="9" fillId="8" borderId="35" xfId="0" applyFont="1" applyFill="1" applyBorder="1" applyAlignment="1">
      <alignment horizontal="center"/>
    </xf>
    <xf numFmtId="3" fontId="9" fillId="0" borderId="44" xfId="11" applyNumberFormat="1" applyFont="1" applyBorder="1"/>
    <xf numFmtId="0" fontId="9" fillId="8" borderId="35" xfId="0" applyFont="1" applyFill="1" applyBorder="1" applyAlignment="1">
      <alignment vertical="center" wrapText="1"/>
    </xf>
    <xf numFmtId="0" fontId="9" fillId="8" borderId="35" xfId="0" applyFont="1" applyFill="1" applyBorder="1" applyAlignment="1">
      <alignment horizontal="center" vertical="center"/>
    </xf>
    <xf numFmtId="3" fontId="9" fillId="0" borderId="44" xfId="11" applyNumberFormat="1" applyFont="1" applyFill="1" applyBorder="1" applyAlignment="1">
      <alignment vertical="center" wrapText="1"/>
    </xf>
    <xf numFmtId="164" fontId="8" fillId="0" borderId="34" xfId="0" applyNumberFormat="1" applyFont="1" applyBorder="1"/>
    <xf numFmtId="0" fontId="8" fillId="0" borderId="42" xfId="0" applyFont="1" applyFill="1" applyBorder="1" applyAlignment="1">
      <alignment wrapText="1"/>
    </xf>
    <xf numFmtId="0" fontId="8" fillId="0" borderId="14" xfId="0" applyFont="1" applyFill="1" applyBorder="1" applyAlignment="1">
      <alignment vertical="center"/>
    </xf>
    <xf numFmtId="0" fontId="9" fillId="0" borderId="36" xfId="0" applyFont="1" applyFill="1" applyBorder="1"/>
    <xf numFmtId="3" fontId="9" fillId="8" borderId="15" xfId="0" applyNumberFormat="1" applyFont="1" applyFill="1" applyBorder="1" applyAlignment="1">
      <alignment vertical="center"/>
    </xf>
    <xf numFmtId="3" fontId="9" fillId="0" borderId="7" xfId="11" applyNumberFormat="1" applyFont="1" applyFill="1" applyBorder="1" applyAlignment="1">
      <alignment vertical="center"/>
    </xf>
    <xf numFmtId="3" fontId="9" fillId="0" borderId="35" xfId="11" applyNumberFormat="1" applyFont="1" applyFill="1" applyBorder="1" applyAlignment="1">
      <alignment vertical="center"/>
    </xf>
    <xf numFmtId="3" fontId="9" fillId="8" borderId="35" xfId="11" applyNumberFormat="1" applyFont="1" applyFill="1" applyBorder="1"/>
    <xf numFmtId="0" fontId="8" fillId="0" borderId="33" xfId="0" applyFont="1" applyFill="1" applyBorder="1" applyAlignment="1">
      <alignment wrapText="1"/>
    </xf>
    <xf numFmtId="3" fontId="9" fillId="8" borderId="0" xfId="11" applyNumberFormat="1" applyFont="1" applyFill="1"/>
    <xf numFmtId="164" fontId="9" fillId="8" borderId="0" xfId="11" applyNumberFormat="1" applyFont="1" applyFill="1"/>
    <xf numFmtId="0" fontId="0" fillId="10" borderId="8" xfId="0" applyFill="1" applyBorder="1"/>
    <xf numFmtId="43" fontId="0" fillId="10" borderId="8" xfId="11" applyFont="1" applyFill="1" applyBorder="1" applyAlignment="1">
      <alignment horizontal="left"/>
    </xf>
    <xf numFmtId="1" fontId="0" fillId="10" borderId="8" xfId="11" applyNumberFormat="1" applyFont="1" applyFill="1" applyBorder="1" applyAlignment="1">
      <alignment horizontal="center"/>
    </xf>
    <xf numFmtId="43" fontId="0" fillId="10" borderId="8" xfId="11" applyFont="1" applyFill="1" applyBorder="1"/>
    <xf numFmtId="0" fontId="0" fillId="10" borderId="8" xfId="0" applyFill="1" applyBorder="1" applyAlignment="1">
      <alignment horizontal="center"/>
    </xf>
    <xf numFmtId="1" fontId="5" fillId="10" borderId="8" xfId="11" applyNumberFormat="1" applyFont="1" applyFill="1" applyBorder="1" applyAlignment="1">
      <alignment horizontal="center" vertical="center"/>
    </xf>
    <xf numFmtId="0" fontId="0" fillId="10" borderId="8" xfId="0" applyFill="1" applyBorder="1" applyAlignment="1">
      <alignment horizontal="right"/>
    </xf>
    <xf numFmtId="3" fontId="5" fillId="3" borderId="8" xfId="11" applyNumberFormat="1" applyFont="1" applyFill="1" applyBorder="1"/>
    <xf numFmtId="3" fontId="0" fillId="3" borderId="8" xfId="0" applyNumberFormat="1" applyFill="1" applyBorder="1"/>
    <xf numFmtId="3" fontId="0" fillId="0" borderId="8" xfId="0" applyNumberFormat="1" applyFill="1" applyBorder="1"/>
    <xf numFmtId="3" fontId="5" fillId="10" borderId="8" xfId="11" applyNumberFormat="1" applyFont="1" applyFill="1" applyBorder="1"/>
    <xf numFmtId="3" fontId="0" fillId="10" borderId="8" xfId="0" applyNumberFormat="1" applyFill="1" applyBorder="1"/>
    <xf numFmtId="3" fontId="6" fillId="0" borderId="8" xfId="11" applyNumberFormat="1" applyFont="1" applyBorder="1"/>
    <xf numFmtId="3" fontId="6" fillId="2" borderId="8" xfId="11" applyNumberFormat="1" applyFont="1" applyFill="1" applyBorder="1"/>
    <xf numFmtId="3" fontId="5" fillId="0" borderId="8" xfId="11" applyNumberFormat="1" applyFont="1" applyBorder="1" applyAlignment="1">
      <alignment horizontal="right"/>
    </xf>
    <xf numFmtId="3" fontId="0" fillId="0" borderId="8" xfId="11" applyNumberFormat="1" applyFont="1" applyBorder="1" applyAlignment="1"/>
    <xf numFmtId="3" fontId="5" fillId="0" borderId="8" xfId="11" applyNumberFormat="1" applyFont="1" applyBorder="1" applyAlignment="1"/>
    <xf numFmtId="3" fontId="0" fillId="10" borderId="8" xfId="11" applyNumberFormat="1" applyFont="1" applyFill="1" applyBorder="1"/>
    <xf numFmtId="3" fontId="0" fillId="10" borderId="8" xfId="11" applyNumberFormat="1" applyFont="1" applyFill="1" applyBorder="1" applyAlignment="1">
      <alignment horizontal="right"/>
    </xf>
    <xf numFmtId="3" fontId="0" fillId="10" borderId="8" xfId="0" applyNumberFormat="1" applyFill="1" applyBorder="1" applyAlignment="1">
      <alignment horizontal="right"/>
    </xf>
    <xf numFmtId="3" fontId="6" fillId="0" borderId="8" xfId="11" applyNumberFormat="1" applyFont="1" applyFill="1" applyBorder="1"/>
    <xf numFmtId="3" fontId="6" fillId="0" borderId="8" xfId="0" applyNumberFormat="1" applyFont="1" applyFill="1" applyBorder="1"/>
    <xf numFmtId="3" fontId="6" fillId="2" borderId="8" xfId="0" applyNumberFormat="1" applyFont="1" applyFill="1" applyBorder="1"/>
    <xf numFmtId="0" fontId="0" fillId="0" borderId="17" xfId="0" applyFill="1" applyBorder="1"/>
    <xf numFmtId="0" fontId="0" fillId="10" borderId="17" xfId="0" applyFill="1" applyBorder="1" applyAlignment="1">
      <alignment horizontal="right"/>
    </xf>
    <xf numFmtId="43" fontId="0" fillId="10" borderId="17" xfId="11" applyFont="1" applyFill="1" applyBorder="1"/>
    <xf numFmtId="0" fontId="9" fillId="8" borderId="10" xfId="0" applyFont="1" applyFill="1" applyBorder="1" applyAlignment="1">
      <alignment vertical="center" wrapText="1"/>
    </xf>
    <xf numFmtId="0" fontId="9" fillId="8" borderId="10" xfId="0" applyFont="1" applyFill="1" applyBorder="1" applyAlignment="1">
      <alignment vertical="center"/>
    </xf>
    <xf numFmtId="164" fontId="9" fillId="8" borderId="10" xfId="11" applyNumberFormat="1" applyFont="1" applyFill="1" applyBorder="1" applyAlignment="1">
      <alignment vertical="center"/>
    </xf>
    <xf numFmtId="0" fontId="9" fillId="8" borderId="16" xfId="0" applyFont="1" applyFill="1" applyBorder="1" applyAlignment="1">
      <alignment vertical="center" wrapText="1"/>
    </xf>
    <xf numFmtId="0" fontId="9" fillId="8" borderId="37" xfId="0" applyFont="1" applyFill="1" applyBorder="1" applyAlignment="1">
      <alignment vertical="center" wrapText="1"/>
    </xf>
    <xf numFmtId="0" fontId="9" fillId="8" borderId="37" xfId="0" applyFont="1" applyFill="1" applyBorder="1" applyAlignment="1">
      <alignment vertical="center"/>
    </xf>
    <xf numFmtId="164" fontId="9" fillId="8" borderId="37" xfId="11" applyNumberFormat="1" applyFont="1" applyFill="1" applyBorder="1" applyAlignment="1">
      <alignment vertical="center"/>
    </xf>
    <xf numFmtId="0" fontId="9" fillId="8" borderId="38" xfId="0" applyFont="1" applyFill="1" applyBorder="1" applyAlignment="1">
      <alignment vertical="center" wrapText="1"/>
    </xf>
    <xf numFmtId="0" fontId="9" fillId="8" borderId="32" xfId="0" applyFont="1" applyFill="1" applyBorder="1" applyAlignment="1">
      <alignment vertical="center" wrapText="1"/>
    </xf>
    <xf numFmtId="0" fontId="9" fillId="8" borderId="13" xfId="0" applyFont="1" applyFill="1" applyBorder="1" applyAlignment="1">
      <alignment vertical="center" wrapText="1"/>
    </xf>
    <xf numFmtId="0" fontId="9" fillId="8" borderId="8" xfId="0" applyFont="1" applyFill="1" applyBorder="1" applyAlignment="1">
      <alignment vertical="center"/>
    </xf>
    <xf numFmtId="164" fontId="9" fillId="8" borderId="8" xfId="11" applyNumberFormat="1" applyFont="1" applyFill="1" applyBorder="1" applyAlignment="1">
      <alignment vertical="center"/>
    </xf>
    <xf numFmtId="0" fontId="9" fillId="8" borderId="5" xfId="0" applyFont="1" applyFill="1" applyBorder="1" applyAlignment="1">
      <alignment vertical="center" wrapText="1"/>
    </xf>
    <xf numFmtId="0" fontId="9" fillId="8" borderId="43" xfId="0" applyFont="1" applyFill="1" applyBorder="1" applyAlignment="1">
      <alignment vertical="center"/>
    </xf>
    <xf numFmtId="3" fontId="6" fillId="2" borderId="8" xfId="11" applyNumberFormat="1" applyFont="1" applyFill="1" applyBorder="1" applyAlignment="1">
      <alignment horizontal="right" vertical="center"/>
    </xf>
    <xf numFmtId="0" fontId="17"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indent="5"/>
    </xf>
    <xf numFmtId="0" fontId="9" fillId="10" borderId="14" xfId="0" applyFont="1" applyFill="1" applyBorder="1" applyAlignment="1">
      <alignment vertical="center"/>
    </xf>
    <xf numFmtId="0" fontId="9" fillId="10" borderId="19" xfId="0" applyFont="1" applyFill="1" applyBorder="1" applyAlignment="1">
      <alignment vertical="center"/>
    </xf>
    <xf numFmtId="165" fontId="9" fillId="10" borderId="19" xfId="0" applyNumberFormat="1" applyFont="1" applyFill="1" applyBorder="1" applyAlignment="1">
      <alignment vertical="center"/>
    </xf>
    <xf numFmtId="3" fontId="9" fillId="10" borderId="2" xfId="0" applyNumberFormat="1" applyFont="1" applyFill="1" applyBorder="1" applyAlignment="1">
      <alignment vertical="center"/>
    </xf>
    <xf numFmtId="164" fontId="5" fillId="10" borderId="8" xfId="11" applyNumberFormat="1" applyFont="1" applyFill="1" applyBorder="1"/>
    <xf numFmtId="3" fontId="9" fillId="10" borderId="8" xfId="11" applyNumberFormat="1" applyFont="1" applyFill="1" applyBorder="1" applyAlignment="1">
      <alignment vertical="center"/>
    </xf>
    <xf numFmtId="0" fontId="9" fillId="10" borderId="5" xfId="0" applyFont="1" applyFill="1" applyBorder="1" applyAlignment="1">
      <alignment vertical="center"/>
    </xf>
    <xf numFmtId="0" fontId="9" fillId="10" borderId="5" xfId="0" applyFont="1" applyFill="1" applyBorder="1" applyAlignment="1">
      <alignment vertical="center" wrapText="1"/>
    </xf>
    <xf numFmtId="3" fontId="9" fillId="10" borderId="7" xfId="11" applyNumberFormat="1" applyFont="1" applyFill="1" applyBorder="1" applyAlignment="1">
      <alignment vertical="center"/>
    </xf>
    <xf numFmtId="0" fontId="9" fillId="10" borderId="8" xfId="0" applyFont="1" applyFill="1" applyBorder="1" applyAlignment="1">
      <alignment vertical="center" wrapText="1"/>
    </xf>
    <xf numFmtId="0" fontId="0" fillId="10" borderId="25" xfId="0" applyFill="1" applyBorder="1" applyAlignment="1">
      <alignment horizontal="left"/>
    </xf>
    <xf numFmtId="0" fontId="0" fillId="10" borderId="9" xfId="0" applyFill="1" applyBorder="1" applyAlignment="1">
      <alignment horizontal="left"/>
    </xf>
    <xf numFmtId="0" fontId="0" fillId="10" borderId="18" xfId="0" applyFill="1" applyBorder="1" applyAlignment="1">
      <alignment horizontal="left"/>
    </xf>
    <xf numFmtId="0" fontId="9" fillId="10" borderId="0" xfId="0" applyFont="1" applyFill="1"/>
    <xf numFmtId="164" fontId="5" fillId="10" borderId="0" xfId="11" applyNumberFormat="1" applyFont="1" applyFill="1"/>
    <xf numFmtId="164" fontId="9" fillId="10" borderId="0" xfId="11" applyNumberFormat="1" applyFont="1" applyFill="1"/>
    <xf numFmtId="0" fontId="16" fillId="0" borderId="0" xfId="0" applyFont="1" applyAlignment="1">
      <alignment horizontal="center" vertical="center"/>
    </xf>
    <xf numFmtId="0" fontId="6" fillId="2" borderId="17" xfId="0" applyFont="1" applyFill="1" applyBorder="1" applyAlignment="1">
      <alignment horizontal="left"/>
    </xf>
    <xf numFmtId="0" fontId="6" fillId="2" borderId="9" xfId="0" applyFont="1" applyFill="1" applyBorder="1" applyAlignment="1">
      <alignment horizontal="left"/>
    </xf>
    <xf numFmtId="0" fontId="6" fillId="2" borderId="18" xfId="0" applyFont="1" applyFill="1" applyBorder="1" applyAlignment="1">
      <alignment horizontal="left"/>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6" fillId="2" borderId="17" xfId="0" applyFont="1" applyFill="1" applyBorder="1" applyAlignment="1">
      <alignment horizontal="left" vertical="center"/>
    </xf>
    <xf numFmtId="0" fontId="6" fillId="2" borderId="9" xfId="0" applyFont="1" applyFill="1" applyBorder="1" applyAlignment="1">
      <alignment horizontal="left" vertical="center"/>
    </xf>
    <xf numFmtId="0" fontId="6" fillId="2" borderId="18" xfId="0" applyFont="1" applyFill="1" applyBorder="1" applyAlignment="1">
      <alignment horizontal="left" vertical="center"/>
    </xf>
    <xf numFmtId="0" fontId="0" fillId="0" borderId="17" xfId="0" applyFill="1" applyBorder="1" applyAlignment="1">
      <alignment horizontal="left"/>
    </xf>
    <xf numFmtId="0" fontId="0" fillId="0" borderId="9" xfId="0" applyFill="1" applyBorder="1" applyAlignment="1">
      <alignment horizontal="left"/>
    </xf>
    <xf numFmtId="0" fontId="0" fillId="0" borderId="18" xfId="0" applyFill="1" applyBorder="1" applyAlignment="1">
      <alignment horizontal="left"/>
    </xf>
    <xf numFmtId="0" fontId="0" fillId="0" borderId="8" xfId="0" applyFill="1" applyBorder="1" applyAlignment="1">
      <alignment horizontal="left"/>
    </xf>
    <xf numFmtId="0" fontId="0" fillId="0" borderId="8" xfId="0" applyBorder="1" applyAlignment="1">
      <alignment horizontal="left"/>
    </xf>
    <xf numFmtId="0" fontId="6" fillId="2" borderId="8" xfId="0" applyFont="1" applyFill="1" applyBorder="1" applyAlignment="1">
      <alignment horizontal="left"/>
    </xf>
    <xf numFmtId="0" fontId="6" fillId="9" borderId="8" xfId="0" applyFont="1" applyFill="1" applyBorder="1" applyAlignment="1">
      <alignment horizontal="center"/>
    </xf>
    <xf numFmtId="0" fontId="0" fillId="2" borderId="1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8" xfId="0" applyFill="1" applyBorder="1" applyAlignment="1">
      <alignment horizontal="center" vertical="center" wrapText="1"/>
    </xf>
    <xf numFmtId="0" fontId="0" fillId="10" borderId="17" xfId="0" applyFill="1" applyBorder="1" applyAlignment="1">
      <alignment horizontal="left"/>
    </xf>
    <xf numFmtId="0" fontId="0" fillId="10" borderId="9" xfId="0" applyFill="1" applyBorder="1" applyAlignment="1">
      <alignment horizontal="left"/>
    </xf>
    <xf numFmtId="0" fontId="0" fillId="10" borderId="18" xfId="0" applyFill="1" applyBorder="1" applyAlignment="1">
      <alignment horizontal="left"/>
    </xf>
    <xf numFmtId="0" fontId="0" fillId="2" borderId="17" xfId="0" applyFill="1" applyBorder="1" applyAlignment="1">
      <alignment horizontal="left" vertical="center"/>
    </xf>
    <xf numFmtId="0" fontId="0" fillId="2" borderId="9" xfId="0" applyFill="1" applyBorder="1" applyAlignment="1">
      <alignment horizontal="left" vertical="center"/>
    </xf>
    <xf numFmtId="0" fontId="0" fillId="2" borderId="18" xfId="0" applyFill="1" applyBorder="1" applyAlignment="1">
      <alignment horizontal="left" vertical="center"/>
    </xf>
    <xf numFmtId="0" fontId="8" fillId="0" borderId="29"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6" fillId="4" borderId="24" xfId="0" applyFont="1" applyFill="1" applyBorder="1" applyAlignment="1">
      <alignment horizontal="left"/>
    </xf>
    <xf numFmtId="0" fontId="6" fillId="4" borderId="11" xfId="0" applyFont="1" applyFill="1" applyBorder="1" applyAlignment="1">
      <alignment horizontal="left"/>
    </xf>
    <xf numFmtId="0" fontId="6" fillId="4" borderId="19" xfId="0" applyFont="1" applyFill="1" applyBorder="1" applyAlignment="1">
      <alignment horizontal="left"/>
    </xf>
    <xf numFmtId="0" fontId="0" fillId="0" borderId="25" xfId="0" applyBorder="1" applyAlignment="1">
      <alignment horizontal="left"/>
    </xf>
    <xf numFmtId="0" fontId="0" fillId="0" borderId="9" xfId="0" applyBorder="1" applyAlignment="1">
      <alignment horizontal="left"/>
    </xf>
    <xf numFmtId="0" fontId="0" fillId="0" borderId="18" xfId="0" applyBorder="1" applyAlignment="1">
      <alignment horizontal="left"/>
    </xf>
    <xf numFmtId="0" fontId="8" fillId="0" borderId="29"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6" fillId="9" borderId="26" xfId="0" applyFont="1" applyFill="1" applyBorder="1" applyAlignment="1">
      <alignment horizontal="left"/>
    </xf>
    <xf numFmtId="0" fontId="6" fillId="9" borderId="27" xfId="0" applyFont="1" applyFill="1" applyBorder="1" applyAlignment="1">
      <alignment horizontal="left"/>
    </xf>
    <xf numFmtId="0" fontId="6" fillId="9" borderId="28" xfId="0" applyFont="1" applyFill="1" applyBorder="1" applyAlignment="1">
      <alignment horizontal="left"/>
    </xf>
  </cellXfs>
  <cellStyles count="16">
    <cellStyle name="Komma" xfId="11" builtinId="3"/>
    <cellStyle name="Normal" xfId="0" builtinId="0"/>
    <cellStyle name="Normal 2" xfId="1"/>
    <cellStyle name="Normal 2 2" xfId="2"/>
    <cellStyle name="Normal 3" xfId="3"/>
    <cellStyle name="Normal 4" xfId="4"/>
    <cellStyle name="Normal 5" xfId="5"/>
    <cellStyle name="Normal 6" xfId="6"/>
    <cellStyle name="Normal 6 2" xfId="7"/>
    <cellStyle name="Prosent" xfId="8" builtinId="5"/>
    <cellStyle name="Prosent 2" xfId="9"/>
    <cellStyle name="Stil 1" xfId="10"/>
    <cellStyle name="Tusenskille 2" xfId="12"/>
    <cellStyle name="Tusenskille 3" xfId="13"/>
    <cellStyle name="Tusenskille 4" xfId="14"/>
    <cellStyle name="Tusenskille 5"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Gjeldsgrad</a:t>
            </a:r>
          </a:p>
        </c:rich>
      </c:tx>
      <c:overlay val="0"/>
    </c:title>
    <c:autoTitleDeleted val="0"/>
    <c:plotArea>
      <c:layout>
        <c:manualLayout>
          <c:layoutTarget val="inner"/>
          <c:xMode val="edge"/>
          <c:yMode val="edge"/>
          <c:x val="0.174989255614972"/>
          <c:y val="0.157027512737378"/>
          <c:w val="0.656907723087363"/>
          <c:h val="0.717320240852238"/>
        </c:manualLayout>
      </c:layout>
      <c:lineChart>
        <c:grouping val="stacked"/>
        <c:varyColors val="0"/>
        <c:ser>
          <c:idx val="0"/>
          <c:order val="0"/>
          <c:tx>
            <c:strRef>
              <c:f>Gjeldsgrad!$A$25</c:f>
              <c:strCache>
                <c:ptCount val="1"/>
                <c:pt idx="0">
                  <c:v>Brutto lånegjeld (ekskl. lån til videre utlån) i prosent av brutto driftsinntekter</c:v>
                </c:pt>
              </c:strCache>
            </c:strRef>
          </c:tx>
          <c:dLbls>
            <c:dLbl>
              <c:idx val="3"/>
              <c:layout>
                <c:manualLayout>
                  <c:x val="-9.9058940069344792E-3"/>
                  <c:y val="2.823529411764710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9.9058940069343404E-3"/>
                  <c:y val="-1.254926663578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5.9435364041604899E-3"/>
                  <c:y val="1.5686274509803901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Gjeldsgrad!$B$24:$L$24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Gjeldsgrad!$B$25:$L$25</c:f>
              <c:numCache>
                <c:formatCode>0%</c:formatCode>
                <c:ptCount val="11"/>
                <c:pt idx="0">
                  <c:v>0.61906506059222421</c:v>
                </c:pt>
                <c:pt idx="1">
                  <c:v>0.67369005719619135</c:v>
                </c:pt>
                <c:pt idx="2">
                  <c:v>0.75637231991985043</c:v>
                </c:pt>
                <c:pt idx="3">
                  <c:v>0.66737342684867595</c:v>
                </c:pt>
                <c:pt idx="4">
                  <c:v>0.67697774084201301</c:v>
                </c:pt>
                <c:pt idx="5">
                  <c:v>0.7336426337767783</c:v>
                </c:pt>
                <c:pt idx="6">
                  <c:v>0.75351347438382454</c:v>
                </c:pt>
                <c:pt idx="7">
                  <c:v>0.75804961134657034</c:v>
                </c:pt>
                <c:pt idx="8">
                  <c:v>0.72932469755372298</c:v>
                </c:pt>
                <c:pt idx="9">
                  <c:v>0.76328364572108987</c:v>
                </c:pt>
                <c:pt idx="10">
                  <c:v>0.63597885295911116</c:v>
                </c:pt>
              </c:numCache>
            </c:numRef>
          </c:val>
          <c:smooth val="0"/>
        </c:ser>
        <c:dLbls>
          <c:showLegendKey val="0"/>
          <c:showVal val="1"/>
          <c:showCatName val="0"/>
          <c:showSerName val="0"/>
          <c:showPercent val="0"/>
          <c:showBubbleSize val="0"/>
        </c:dLbls>
        <c:marker val="1"/>
        <c:smooth val="0"/>
        <c:axId val="146461824"/>
        <c:axId val="166227968"/>
      </c:lineChart>
      <c:catAx>
        <c:axId val="146461824"/>
        <c:scaling>
          <c:orientation val="minMax"/>
        </c:scaling>
        <c:delete val="0"/>
        <c:axPos val="b"/>
        <c:numFmt formatCode="General" sourceLinked="1"/>
        <c:majorTickMark val="none"/>
        <c:minorTickMark val="none"/>
        <c:tickLblPos val="nextTo"/>
        <c:crossAx val="166227968"/>
        <c:crosses val="autoZero"/>
        <c:auto val="1"/>
        <c:lblAlgn val="ctr"/>
        <c:lblOffset val="100"/>
        <c:noMultiLvlLbl val="0"/>
      </c:catAx>
      <c:valAx>
        <c:axId val="166227968"/>
        <c:scaling>
          <c:orientation val="minMax"/>
          <c:max val="1"/>
          <c:min val="0"/>
        </c:scaling>
        <c:delete val="0"/>
        <c:axPos val="l"/>
        <c:majorGridlines/>
        <c:numFmt formatCode="0%" sourceLinked="1"/>
        <c:majorTickMark val="none"/>
        <c:minorTickMark val="none"/>
        <c:tickLblPos val="nextTo"/>
        <c:crossAx val="146461824"/>
        <c:crosses val="autoZero"/>
        <c:crossBetween val="between"/>
      </c:valAx>
    </c:plotArea>
    <c:legend>
      <c:legendPos val="r"/>
      <c:layout>
        <c:manualLayout>
          <c:xMode val="edge"/>
          <c:yMode val="edge"/>
          <c:x val="4.9331352154532E-2"/>
          <c:y val="0.94659008800370603"/>
          <c:w val="0.92293214462605"/>
          <c:h val="5.0976439709742E-2"/>
        </c:manualLayout>
      </c:layout>
      <c:overlay val="0"/>
    </c:legend>
    <c:plotVisOnly val="1"/>
    <c:dispBlanksAs val="zero"/>
    <c:showDLblsOverMax val="0"/>
  </c:chart>
  <c:printSettings>
    <c:headerFooter/>
    <c:pageMargins b="0.78740157499999996" l="0.70000000000000095" r="0.70000000000000095"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971550</xdr:colOff>
      <xdr:row>31</xdr:row>
      <xdr:rowOff>152400</xdr:rowOff>
    </xdr:from>
    <xdr:to>
      <xdr:col>3</xdr:col>
      <xdr:colOff>104775</xdr:colOff>
      <xdr:row>53</xdr:row>
      <xdr:rowOff>9525</xdr:rowOff>
    </xdr:to>
    <xdr:graphicFrame macro="">
      <xdr:nvGraphicFramePr>
        <xdr:cNvPr id="9299"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Sola kommune 1">
      <a:dk1>
        <a:sysClr val="windowText" lastClr="000000"/>
      </a:dk1>
      <a:lt1>
        <a:sysClr val="window" lastClr="FFFFFF"/>
      </a:lt1>
      <a:dk2>
        <a:srgbClr val="1F2123"/>
      </a:dk2>
      <a:lt2>
        <a:srgbClr val="DC9E1F"/>
      </a:lt2>
      <a:accent1>
        <a:srgbClr val="7E97AD"/>
      </a:accent1>
      <a:accent2>
        <a:srgbClr val="CC8E60"/>
      </a:accent2>
      <a:accent3>
        <a:srgbClr val="7A6A60"/>
      </a:accent3>
      <a:accent4>
        <a:srgbClr val="B4936D"/>
      </a:accent4>
      <a:accent5>
        <a:srgbClr val="67787B"/>
      </a:accent5>
      <a:accent6>
        <a:srgbClr val="9D936F"/>
      </a:accent6>
      <a:hlink>
        <a:srgbClr val="646464"/>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42"/>
  <sheetViews>
    <sheetView showGridLines="0" topLeftCell="A25" workbookViewId="0">
      <selection activeCell="A2" sqref="A2"/>
    </sheetView>
  </sheetViews>
  <sheetFormatPr baseColWidth="10" defaultRowHeight="15" x14ac:dyDescent="0.25"/>
  <cols>
    <col min="1" max="1" width="126.42578125" style="1" customWidth="1"/>
  </cols>
  <sheetData>
    <row r="1" spans="1:1" ht="18" x14ac:dyDescent="0.25">
      <c r="A1" s="280" t="s">
        <v>254</v>
      </c>
    </row>
    <row r="2" spans="1:1" s="63" customFormat="1" ht="18" x14ac:dyDescent="0.25">
      <c r="A2" s="280"/>
    </row>
    <row r="3" spans="1:1" s="63" customFormat="1" ht="35.1" customHeight="1" x14ac:dyDescent="0.25">
      <c r="A3" s="1" t="s">
        <v>273</v>
      </c>
    </row>
    <row r="4" spans="1:1" s="63" customFormat="1" ht="12" customHeight="1" x14ac:dyDescent="0.25">
      <c r="A4" s="280"/>
    </row>
    <row r="5" spans="1:1" s="63" customFormat="1" ht="20.100000000000001" customHeight="1" x14ac:dyDescent="0.25">
      <c r="A5" s="283" t="s">
        <v>274</v>
      </c>
    </row>
    <row r="6" spans="1:1" s="63" customFormat="1" ht="20.100000000000001" customHeight="1" x14ac:dyDescent="0.25">
      <c r="A6" s="283" t="s">
        <v>275</v>
      </c>
    </row>
    <row r="7" spans="1:1" s="63" customFormat="1" ht="20.100000000000001" customHeight="1" x14ac:dyDescent="0.25">
      <c r="A7" s="283" t="s">
        <v>280</v>
      </c>
    </row>
    <row r="8" spans="1:1" s="63" customFormat="1" ht="20.100000000000001" customHeight="1" x14ac:dyDescent="0.25">
      <c r="A8" s="283" t="s">
        <v>276</v>
      </c>
    </row>
    <row r="9" spans="1:1" s="63" customFormat="1" ht="20.100000000000001" customHeight="1" x14ac:dyDescent="0.25">
      <c r="A9" s="283" t="s">
        <v>277</v>
      </c>
    </row>
    <row r="10" spans="1:1" s="63" customFormat="1" ht="20.100000000000001" customHeight="1" x14ac:dyDescent="0.25">
      <c r="A10" s="283" t="s">
        <v>278</v>
      </c>
    </row>
    <row r="11" spans="1:1" s="63" customFormat="1" ht="14.25" customHeight="1" x14ac:dyDescent="0.25">
      <c r="A11" s="280"/>
    </row>
    <row r="12" spans="1:1" s="63" customFormat="1" ht="35.1" customHeight="1" x14ac:dyDescent="0.25">
      <c r="A12" s="1" t="s">
        <v>279</v>
      </c>
    </row>
    <row r="13" spans="1:1" s="63" customFormat="1" ht="18" customHeight="1" x14ac:dyDescent="0.25">
      <c r="A13" s="1"/>
    </row>
    <row r="14" spans="1:1" ht="16.5" x14ac:dyDescent="0.25">
      <c r="A14" s="281" t="s">
        <v>255</v>
      </c>
    </row>
    <row r="15" spans="1:1" ht="20.100000000000001" customHeight="1" x14ac:dyDescent="0.25">
      <c r="A15" s="282" t="s">
        <v>256</v>
      </c>
    </row>
    <row r="16" spans="1:1" s="63" customFormat="1" x14ac:dyDescent="0.25">
      <c r="A16" s="282"/>
    </row>
    <row r="17" spans="1:1" ht="16.5" x14ac:dyDescent="0.25">
      <c r="A17" s="281" t="s">
        <v>258</v>
      </c>
    </row>
    <row r="18" spans="1:1" ht="20.100000000000001" customHeight="1" x14ac:dyDescent="0.25">
      <c r="A18" s="282" t="s">
        <v>257</v>
      </c>
    </row>
    <row r="19" spans="1:1" ht="20.100000000000001" customHeight="1" x14ac:dyDescent="0.25">
      <c r="A19" s="282" t="s">
        <v>281</v>
      </c>
    </row>
    <row r="20" spans="1:1" ht="35.1" customHeight="1" x14ac:dyDescent="0.25">
      <c r="A20" s="282" t="s">
        <v>284</v>
      </c>
    </row>
    <row r="22" spans="1:1" ht="16.5" x14ac:dyDescent="0.25">
      <c r="A22" s="281" t="s">
        <v>282</v>
      </c>
    </row>
    <row r="23" spans="1:1" ht="20.100000000000001" customHeight="1" x14ac:dyDescent="0.25">
      <c r="A23" s="282" t="s">
        <v>259</v>
      </c>
    </row>
    <row r="24" spans="1:1" ht="20.100000000000001" customHeight="1" x14ac:dyDescent="0.25">
      <c r="A24" s="282" t="s">
        <v>260</v>
      </c>
    </row>
    <row r="25" spans="1:1" ht="20.100000000000001" customHeight="1" x14ac:dyDescent="0.25">
      <c r="A25" s="282" t="s">
        <v>261</v>
      </c>
    </row>
    <row r="26" spans="1:1" ht="20.100000000000001" customHeight="1" x14ac:dyDescent="0.25">
      <c r="A26" s="282" t="s">
        <v>262</v>
      </c>
    </row>
    <row r="27" spans="1:1" ht="20.100000000000001" customHeight="1" x14ac:dyDescent="0.25">
      <c r="A27" s="282" t="s">
        <v>283</v>
      </c>
    </row>
    <row r="29" spans="1:1" ht="16.5" x14ac:dyDescent="0.25">
      <c r="A29" s="281" t="s">
        <v>272</v>
      </c>
    </row>
    <row r="30" spans="1:1" ht="20.100000000000001" customHeight="1" x14ac:dyDescent="0.25">
      <c r="A30" s="282" t="s">
        <v>263</v>
      </c>
    </row>
    <row r="31" spans="1:1" ht="20.100000000000001" customHeight="1" x14ac:dyDescent="0.25">
      <c r="A31" s="282" t="s">
        <v>260</v>
      </c>
    </row>
    <row r="32" spans="1:1" ht="63" customHeight="1" x14ac:dyDescent="0.25">
      <c r="A32" s="282" t="s">
        <v>264</v>
      </c>
    </row>
    <row r="34" spans="1:1" ht="16.5" x14ac:dyDescent="0.25">
      <c r="A34" s="281" t="s">
        <v>271</v>
      </c>
    </row>
    <row r="35" spans="1:1" ht="20.100000000000001" customHeight="1" x14ac:dyDescent="0.25">
      <c r="A35" s="282" t="s">
        <v>265</v>
      </c>
    </row>
    <row r="36" spans="1:1" ht="35.1" customHeight="1" x14ac:dyDescent="0.25">
      <c r="A36" s="282" t="s">
        <v>266</v>
      </c>
    </row>
    <row r="37" spans="1:1" ht="63" customHeight="1" x14ac:dyDescent="0.25">
      <c r="A37" s="282" t="s">
        <v>285</v>
      </c>
    </row>
    <row r="38" spans="1:1" ht="35.1" customHeight="1" x14ac:dyDescent="0.25">
      <c r="A38" s="282" t="s">
        <v>267</v>
      </c>
    </row>
    <row r="40" spans="1:1" ht="16.5" x14ac:dyDescent="0.25">
      <c r="A40" s="281" t="s">
        <v>270</v>
      </c>
    </row>
    <row r="41" spans="1:1" ht="20.100000000000001" customHeight="1" x14ac:dyDescent="0.25">
      <c r="A41" s="282" t="s">
        <v>268</v>
      </c>
    </row>
    <row r="42" spans="1:1" ht="20.100000000000001" customHeight="1" x14ac:dyDescent="0.25">
      <c r="A42" s="282" t="s">
        <v>269</v>
      </c>
    </row>
  </sheetData>
  <sheetProtection sheet="1" objects="1" scenarios="1"/>
  <pageMargins left="0.70866141732283472" right="0.70866141732283472" top="0.78740157480314965" bottom="0.78740157480314965" header="0.31496062992125984" footer="0.31496062992125984"/>
  <pageSetup paperSize="9" fitToHeight="4"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404"/>
  <sheetViews>
    <sheetView tabSelected="1" topLeftCell="A136" workbookViewId="0">
      <selection activeCell="F171" sqref="F171"/>
    </sheetView>
  </sheetViews>
  <sheetFormatPr baseColWidth="10" defaultRowHeight="15" x14ac:dyDescent="0.25"/>
  <cols>
    <col min="1" max="1" width="5.7109375" customWidth="1"/>
    <col min="2" max="2" width="73.28515625" bestFit="1" customWidth="1"/>
    <col min="3" max="3" width="8.42578125" customWidth="1"/>
    <col min="4" max="4" width="15.7109375" customWidth="1"/>
    <col min="5" max="5" width="12.85546875" customWidth="1"/>
    <col min="6" max="6" width="13" customWidth="1"/>
    <col min="7" max="8" width="12.85546875" customWidth="1"/>
    <col min="9" max="9" width="12.85546875" style="40" customWidth="1"/>
    <col min="10" max="10" width="5.7109375" customWidth="1"/>
    <col min="11" max="11" width="13.140625" hidden="1" customWidth="1"/>
    <col min="13" max="13" width="11.7109375" bestFit="1" customWidth="1"/>
    <col min="15" max="18" width="11.7109375" bestFit="1" customWidth="1"/>
  </cols>
  <sheetData>
    <row r="1" spans="1:20" s="63" customFormat="1" ht="30" customHeight="1" x14ac:dyDescent="0.25">
      <c r="A1" s="300" t="s">
        <v>253</v>
      </c>
      <c r="B1" s="300"/>
      <c r="C1" s="300"/>
      <c r="D1" s="300"/>
      <c r="E1" s="300"/>
      <c r="F1" s="300"/>
      <c r="G1" s="300"/>
      <c r="H1" s="300"/>
      <c r="I1" s="300"/>
    </row>
    <row r="2" spans="1:20" x14ac:dyDescent="0.25">
      <c r="A2" s="40" t="s">
        <v>222</v>
      </c>
      <c r="D2" s="3"/>
    </row>
    <row r="3" spans="1:20" ht="30" customHeight="1" x14ac:dyDescent="0.25">
      <c r="A3" s="316" t="str">
        <f>'B 2016-2019'!A2</f>
        <v>Felles (inkl. adm.bygg.)</v>
      </c>
      <c r="B3" s="316"/>
      <c r="C3" s="316"/>
      <c r="D3" s="316"/>
      <c r="E3" s="316"/>
      <c r="F3" s="316"/>
      <c r="G3" s="316"/>
      <c r="H3" s="316"/>
      <c r="I3" s="316"/>
    </row>
    <row r="4" spans="1:20" ht="30" customHeight="1" x14ac:dyDescent="0.25">
      <c r="A4" s="83" t="s">
        <v>43</v>
      </c>
      <c r="B4" s="83" t="str">
        <f>'B 2016-2019'!A2</f>
        <v>Felles (inkl. adm.bygg.)</v>
      </c>
      <c r="C4" s="83" t="s">
        <v>1</v>
      </c>
      <c r="D4" s="84" t="s">
        <v>42</v>
      </c>
      <c r="E4" s="85" t="s">
        <v>212</v>
      </c>
      <c r="F4" s="86">
        <v>2016</v>
      </c>
      <c r="G4" s="86">
        <v>2017</v>
      </c>
      <c r="H4" s="86">
        <v>2018</v>
      </c>
      <c r="I4" s="86">
        <v>2019</v>
      </c>
    </row>
    <row r="5" spans="1:20" x14ac:dyDescent="0.25">
      <c r="A5" s="45">
        <v>1</v>
      </c>
      <c r="B5" s="45" t="str">
        <f>'B 2016-2019'!B2</f>
        <v>Samlebevilgning formål felles (inkl. adm.bygg)</v>
      </c>
      <c r="C5" s="87"/>
      <c r="D5" s="246"/>
      <c r="E5" s="247"/>
      <c r="F5" s="88">
        <f>'B 2016-2019'!F2/1000</f>
        <v>1350</v>
      </c>
      <c r="G5" s="88">
        <f>'B 2016-2019'!G2/1000</f>
        <v>1350</v>
      </c>
      <c r="H5" s="88">
        <f>'B 2016-2019'!H2/1000</f>
        <v>1350</v>
      </c>
      <c r="I5" s="88">
        <f>'B 2016-2019'!I2/1000</f>
        <v>1850</v>
      </c>
      <c r="K5" s="33"/>
      <c r="L5" s="33"/>
      <c r="M5" s="33"/>
      <c r="N5" s="33"/>
      <c r="O5" s="33"/>
      <c r="P5" s="33"/>
      <c r="S5" s="5"/>
      <c r="T5" s="5"/>
    </row>
    <row r="6" spans="1:20" x14ac:dyDescent="0.25">
      <c r="A6" s="82">
        <f>A5+1</f>
        <v>2</v>
      </c>
      <c r="B6" s="82" t="str">
        <f>'B 2016-2019'!B3</f>
        <v>Nytt rådhus</v>
      </c>
      <c r="C6" s="89">
        <f>'B 2016-2019'!C3</f>
        <v>19016</v>
      </c>
      <c r="D6" s="90">
        <f>'B 2016-2019'!D3/1000</f>
        <v>216700</v>
      </c>
      <c r="E6" s="90">
        <f>'B 2016-2019'!E3/1000</f>
        <v>6400</v>
      </c>
      <c r="F6" s="90">
        <f>'B 2016-2019'!F3/1000</f>
        <v>17500</v>
      </c>
      <c r="G6" s="90">
        <f>'B 2016-2019'!G3/1000</f>
        <v>92500</v>
      </c>
      <c r="H6" s="90">
        <f>'B 2016-2019'!H3/1000</f>
        <v>71200</v>
      </c>
      <c r="I6" s="90">
        <f>'B 2016-2019'!I3/1000</f>
        <v>29100</v>
      </c>
      <c r="S6" s="5"/>
      <c r="T6" s="5"/>
    </row>
    <row r="7" spans="1:20" x14ac:dyDescent="0.25">
      <c r="A7" s="82">
        <f t="shared" ref="A7:A9" si="0">A6+1</f>
        <v>3</v>
      </c>
      <c r="B7" s="82" t="str">
        <f>'B 2016-2019'!B4</f>
        <v>IKT-investering strategisk (årsbev.)</v>
      </c>
      <c r="C7" s="89">
        <f>'B 2016-2019'!C4</f>
        <v>19601</v>
      </c>
      <c r="D7" s="246"/>
      <c r="E7" s="247"/>
      <c r="F7" s="90">
        <f>'B 2016-2019'!F4/1000</f>
        <v>2000</v>
      </c>
      <c r="G7" s="90">
        <f>'B 2016-2019'!G4/1000</f>
        <v>1500</v>
      </c>
      <c r="H7" s="90">
        <f>'B 2016-2019'!H4/1000</f>
        <v>1500</v>
      </c>
      <c r="I7" s="90">
        <f>'B 2016-2019'!I4/1000</f>
        <v>1500</v>
      </c>
      <c r="S7" s="5"/>
      <c r="T7" s="5"/>
    </row>
    <row r="8" spans="1:20" s="60" customFormat="1" x14ac:dyDescent="0.25">
      <c r="A8" s="82">
        <f t="shared" si="0"/>
        <v>4</v>
      </c>
      <c r="B8" s="82" t="str">
        <f>'B 2016-2019'!B5</f>
        <v>Utbygging av trådløst nettverk, kommunale bygg</v>
      </c>
      <c r="C8" s="89">
        <f>'B 2016-2019'!C5</f>
        <v>19020</v>
      </c>
      <c r="D8" s="90">
        <f>'B 2016-2019'!D5/1000</f>
        <v>2750</v>
      </c>
      <c r="E8" s="248">
        <f>'B 2016-2019'!E5/1000</f>
        <v>0</v>
      </c>
      <c r="F8" s="90">
        <f>'B 2016-2019'!F5/1000</f>
        <v>1375</v>
      </c>
      <c r="G8" s="90">
        <f>'B 2016-2019'!G5/1000</f>
        <v>1375</v>
      </c>
      <c r="H8" s="90">
        <f>'B 2016-2019'!H5/1000</f>
        <v>0</v>
      </c>
      <c r="I8" s="90">
        <f>'B 2016-2019'!I5/1000</f>
        <v>0</v>
      </c>
      <c r="S8" s="42"/>
      <c r="T8" s="42"/>
    </row>
    <row r="9" spans="1:20" x14ac:dyDescent="0.25">
      <c r="A9" s="45">
        <f t="shared" si="0"/>
        <v>5</v>
      </c>
      <c r="B9" s="45" t="str">
        <f>'B 2016-2019'!B6</f>
        <v>Egenkapitalinnskudd KLP (årsbev.)</v>
      </c>
      <c r="C9" s="91">
        <f>'B 2016-2019'!C6</f>
        <v>19606</v>
      </c>
      <c r="D9" s="246"/>
      <c r="E9" s="247"/>
      <c r="F9" s="88">
        <f>'B 2016-2019'!F6/1000</f>
        <v>3415</v>
      </c>
      <c r="G9" s="88">
        <f>'B 2016-2019'!G6/1000</f>
        <v>3711</v>
      </c>
      <c r="H9" s="88">
        <f>'B 2016-2019'!H6/1000</f>
        <v>4035</v>
      </c>
      <c r="I9" s="88">
        <f>'B 2016-2019'!I6/1000</f>
        <v>4390</v>
      </c>
      <c r="O9" s="5"/>
      <c r="P9" s="5"/>
      <c r="Q9" s="5"/>
      <c r="R9" s="5"/>
      <c r="S9" s="5"/>
      <c r="T9" s="5"/>
    </row>
    <row r="10" spans="1:20" s="63" customFormat="1" x14ac:dyDescent="0.25">
      <c r="A10" s="239"/>
      <c r="B10" s="240">
        <f>'B 2016-2019'!B7</f>
        <v>0</v>
      </c>
      <c r="C10" s="241">
        <f>'B 2016-2019'!C7</f>
        <v>0</v>
      </c>
      <c r="D10" s="249">
        <f>'B 2016-2019'!D7/1000</f>
        <v>0</v>
      </c>
      <c r="E10" s="250">
        <f>'B 2016-2019'!E7/1000</f>
        <v>0</v>
      </c>
      <c r="F10" s="249">
        <f>'B 2016-2019'!F7/1000</f>
        <v>0</v>
      </c>
      <c r="G10" s="249">
        <f>'B 2016-2019'!G7/1000</f>
        <v>0</v>
      </c>
      <c r="H10" s="249">
        <f>'B 2016-2019'!H7/1000</f>
        <v>0</v>
      </c>
      <c r="I10" s="249">
        <f>'B 2016-2019'!I7/1000</f>
        <v>0</v>
      </c>
      <c r="O10" s="42"/>
      <c r="P10" s="42"/>
      <c r="Q10" s="42"/>
      <c r="R10" s="42"/>
      <c r="S10" s="42"/>
      <c r="T10" s="42"/>
    </row>
    <row r="11" spans="1:20" s="63" customFormat="1" x14ac:dyDescent="0.25">
      <c r="A11" s="239"/>
      <c r="B11" s="240">
        <f>'B 2016-2019'!B8</f>
        <v>0</v>
      </c>
      <c r="C11" s="241">
        <f>'B 2016-2019'!C8</f>
        <v>0</v>
      </c>
      <c r="D11" s="249">
        <f>'B 2016-2019'!D8/1000</f>
        <v>0</v>
      </c>
      <c r="E11" s="250">
        <f>'B 2016-2019'!E8/1000</f>
        <v>0</v>
      </c>
      <c r="F11" s="249">
        <f>'B 2016-2019'!F8/1000</f>
        <v>0</v>
      </c>
      <c r="G11" s="249">
        <f>'B 2016-2019'!G8/1000</f>
        <v>0</v>
      </c>
      <c r="H11" s="249">
        <f>'B 2016-2019'!H8/1000</f>
        <v>0</v>
      </c>
      <c r="I11" s="249">
        <f>'B 2016-2019'!I8/1000</f>
        <v>0</v>
      </c>
      <c r="O11" s="42"/>
      <c r="P11" s="42"/>
      <c r="Q11" s="42"/>
      <c r="R11" s="42"/>
      <c r="S11" s="42"/>
      <c r="T11" s="42"/>
    </row>
    <row r="12" spans="1:20" s="63" customFormat="1" x14ac:dyDescent="0.25">
      <c r="A12" s="239"/>
      <c r="B12" s="240">
        <f>'B 2016-2019'!B9</f>
        <v>0</v>
      </c>
      <c r="C12" s="241">
        <f>'B 2016-2019'!C9</f>
        <v>0</v>
      </c>
      <c r="D12" s="249">
        <f>'B 2016-2019'!D9/1000</f>
        <v>0</v>
      </c>
      <c r="E12" s="250">
        <f>'B 2016-2019'!E9/1000</f>
        <v>0</v>
      </c>
      <c r="F12" s="249">
        <f>'B 2016-2019'!F9/1000</f>
        <v>0</v>
      </c>
      <c r="G12" s="249">
        <f>'B 2016-2019'!G9/1000</f>
        <v>0</v>
      </c>
      <c r="H12" s="249">
        <f>'B 2016-2019'!H9/1000</f>
        <v>0</v>
      </c>
      <c r="I12" s="249">
        <f>'B 2016-2019'!I9/1000</f>
        <v>0</v>
      </c>
      <c r="O12" s="42"/>
      <c r="P12" s="42"/>
      <c r="Q12" s="42"/>
      <c r="R12" s="42"/>
      <c r="S12" s="42"/>
      <c r="T12" s="42"/>
    </row>
    <row r="13" spans="1:20" x14ac:dyDescent="0.25">
      <c r="A13" s="93"/>
      <c r="B13" s="93" t="s">
        <v>53</v>
      </c>
      <c r="C13" s="93"/>
      <c r="D13" s="252"/>
      <c r="E13" s="261"/>
      <c r="F13" s="252">
        <f>SUM(F5:F12)</f>
        <v>25640</v>
      </c>
      <c r="G13" s="252">
        <f>SUM(G5:G12)</f>
        <v>100436</v>
      </c>
      <c r="H13" s="252">
        <f t="shared" ref="H13:I13" si="1">SUM(H5:H12)</f>
        <v>78085</v>
      </c>
      <c r="I13" s="252">
        <f t="shared" si="1"/>
        <v>36840</v>
      </c>
      <c r="J13" s="2"/>
      <c r="O13" s="5"/>
      <c r="P13" s="5"/>
      <c r="Q13" s="5"/>
      <c r="R13" s="5"/>
      <c r="S13" s="5"/>
      <c r="T13" s="5"/>
    </row>
    <row r="14" spans="1:20" ht="30" customHeight="1" x14ac:dyDescent="0.25">
      <c r="A14" s="316" t="s">
        <v>48</v>
      </c>
      <c r="B14" s="316"/>
      <c r="C14" s="316"/>
      <c r="D14" s="316"/>
      <c r="E14" s="316"/>
      <c r="F14" s="316"/>
      <c r="G14" s="316"/>
      <c r="H14" s="316"/>
      <c r="I14" s="316"/>
      <c r="O14" s="5"/>
      <c r="P14" s="5"/>
      <c r="Q14" s="5"/>
      <c r="R14" s="5"/>
      <c r="S14" s="5"/>
      <c r="T14" s="5"/>
    </row>
    <row r="15" spans="1:20" ht="30" customHeight="1" x14ac:dyDescent="0.25">
      <c r="A15" s="83" t="s">
        <v>43</v>
      </c>
      <c r="B15" s="83" t="str">
        <f>'B 2016-2019'!A20</f>
        <v>Turveg</v>
      </c>
      <c r="C15" s="83" t="s">
        <v>1</v>
      </c>
      <c r="D15" s="84" t="s">
        <v>42</v>
      </c>
      <c r="E15" s="85" t="s">
        <v>212</v>
      </c>
      <c r="F15" s="86">
        <v>2016</v>
      </c>
      <c r="G15" s="86">
        <v>2017</v>
      </c>
      <c r="H15" s="86">
        <v>2018</v>
      </c>
      <c r="I15" s="86">
        <v>2019</v>
      </c>
    </row>
    <row r="16" spans="1:20" x14ac:dyDescent="0.25">
      <c r="A16" s="82">
        <f>A9+1</f>
        <v>6</v>
      </c>
      <c r="B16" s="82" t="str">
        <f>'B 2016-2019'!B20</f>
        <v>Turveg Hellestø - Sele</v>
      </c>
      <c r="C16" s="94">
        <f>'B 2016-2019'!C20</f>
        <v>59621</v>
      </c>
      <c r="D16" s="90">
        <f>'B 2016-2019'!D20/1000</f>
        <v>3600</v>
      </c>
      <c r="E16" s="90">
        <f>'B 2016-2019'!E20/1000</f>
        <v>100</v>
      </c>
      <c r="F16" s="90">
        <f>'B 2016-2019'!F20/1000</f>
        <v>2000</v>
      </c>
      <c r="G16" s="90">
        <f>'B 2016-2019'!G20/1000</f>
        <v>1500</v>
      </c>
      <c r="H16" s="90">
        <f>'B 2016-2019'!H20/1000</f>
        <v>0</v>
      </c>
      <c r="I16" s="90">
        <f>'B 2016-2019'!I20/1000</f>
        <v>0</v>
      </c>
    </row>
    <row r="17" spans="1:9" x14ac:dyDescent="0.25">
      <c r="A17" s="82">
        <f>A16+1</f>
        <v>7</v>
      </c>
      <c r="B17" s="82" t="str">
        <f>'B 2016-2019'!B21</f>
        <v>Turveg Hafrsfjord - Sørnes</v>
      </c>
      <c r="C17" s="89">
        <f>'B 2016-2019'!C21</f>
        <v>59652</v>
      </c>
      <c r="D17" s="90">
        <f>'B 2016-2019'!D21/1000</f>
        <v>5390</v>
      </c>
      <c r="E17" s="90">
        <f>'B 2016-2019'!E21/1000</f>
        <v>3500</v>
      </c>
      <c r="F17" s="90">
        <f>'B 2016-2019'!F21/1000</f>
        <v>1890</v>
      </c>
      <c r="G17" s="90">
        <f>'B 2016-2019'!G21/1000</f>
        <v>0</v>
      </c>
      <c r="H17" s="90">
        <f>'B 2016-2019'!H21/1000</f>
        <v>0</v>
      </c>
      <c r="I17" s="90">
        <f>'B 2016-2019'!I21/1000</f>
        <v>0</v>
      </c>
    </row>
    <row r="18" spans="1:9" x14ac:dyDescent="0.25">
      <c r="A18" s="82">
        <f t="shared" ref="A18:A24" si="2">A17+1</f>
        <v>8</v>
      </c>
      <c r="B18" s="82" t="str">
        <f>'B 2016-2019'!B22</f>
        <v>Turveg Tananger indre havn</v>
      </c>
      <c r="C18" s="89">
        <f>'B 2016-2019'!C22</f>
        <v>59654</v>
      </c>
      <c r="D18" s="90">
        <f>'B 2016-2019'!D22/1000</f>
        <v>1200</v>
      </c>
      <c r="E18" s="90">
        <f>'B 2016-2019'!E22/1000</f>
        <v>0</v>
      </c>
      <c r="F18" s="90">
        <f>'B 2016-2019'!F22/1000</f>
        <v>0</v>
      </c>
      <c r="G18" s="249">
        <f>'B 2016-2019'!G22/1000</f>
        <v>0</v>
      </c>
      <c r="H18" s="90">
        <f>'B 2016-2019'!H22/1000</f>
        <v>0</v>
      </c>
      <c r="I18" s="90">
        <f>'B 2016-2019'!I22/1000</f>
        <v>0</v>
      </c>
    </row>
    <row r="19" spans="1:9" s="63" customFormat="1" x14ac:dyDescent="0.25">
      <c r="A19" s="82">
        <f t="shared" si="2"/>
        <v>9</v>
      </c>
      <c r="B19" s="82" t="str">
        <f>'B 2016-2019'!B23</f>
        <v>Turveg Tananger indre havn, bryggeområder</v>
      </c>
      <c r="C19" s="89">
        <f>'B 2016-2019'!C23</f>
        <v>59669</v>
      </c>
      <c r="D19" s="90">
        <f>'B 2016-2019'!D23/1000</f>
        <v>2600</v>
      </c>
      <c r="E19" s="90">
        <f>'B 2016-2019'!E23/1000</f>
        <v>0</v>
      </c>
      <c r="F19" s="90">
        <f>'B 2016-2019'!F23/1000</f>
        <v>2600</v>
      </c>
      <c r="G19" s="90">
        <f>'B 2016-2019'!G23/1000</f>
        <v>0</v>
      </c>
      <c r="H19" s="90">
        <f>'B 2016-2019'!H23/1000</f>
        <v>0</v>
      </c>
      <c r="I19" s="90">
        <f>'B 2016-2019'!I23/1000</f>
        <v>0</v>
      </c>
    </row>
    <row r="20" spans="1:9" x14ac:dyDescent="0.25">
      <c r="A20" s="82">
        <f t="shared" si="2"/>
        <v>10</v>
      </c>
      <c r="B20" s="82" t="str">
        <f>'B 2016-2019'!B24</f>
        <v>Turveg Hafrsfjord - Grannes</v>
      </c>
      <c r="C20" s="89">
        <f>'B 2016-2019'!C24</f>
        <v>59672</v>
      </c>
      <c r="D20" s="90">
        <f>'B 2016-2019'!D24/1000</f>
        <v>7274</v>
      </c>
      <c r="E20" s="90">
        <f>'B 2016-2019'!E24/1000</f>
        <v>2374</v>
      </c>
      <c r="F20" s="90">
        <f>'B 2016-2019'!F24/1000</f>
        <v>0</v>
      </c>
      <c r="G20" s="90">
        <f>'B 2016-2019'!G24/1000</f>
        <v>4900</v>
      </c>
      <c r="H20" s="90">
        <f>'B 2016-2019'!H24/1000</f>
        <v>0</v>
      </c>
      <c r="I20" s="90">
        <f>'B 2016-2019'!I24/1000</f>
        <v>0</v>
      </c>
    </row>
    <row r="21" spans="1:9" x14ac:dyDescent="0.25">
      <c r="A21" s="82">
        <f t="shared" si="2"/>
        <v>11</v>
      </c>
      <c r="B21" s="82" t="str">
        <f>'B 2016-2019'!B25</f>
        <v>Turveg Hafrsfjord - Joa</v>
      </c>
      <c r="C21" s="89">
        <f>'B 2016-2019'!C25</f>
        <v>59673</v>
      </c>
      <c r="D21" s="90">
        <f>'B 2016-2019'!D25/1000</f>
        <v>6525</v>
      </c>
      <c r="E21" s="90">
        <f>'B 2016-2019'!E25/1000</f>
        <v>1060</v>
      </c>
      <c r="F21" s="90">
        <f>'B 2016-2019'!F25/1000</f>
        <v>5465</v>
      </c>
      <c r="G21" s="90">
        <f>'B 2016-2019'!G25/1000</f>
        <v>0</v>
      </c>
      <c r="H21" s="90">
        <f>'B 2016-2019'!H25/1000</f>
        <v>0</v>
      </c>
      <c r="I21" s="90">
        <f>'B 2016-2019'!I25/1000</f>
        <v>0</v>
      </c>
    </row>
    <row r="22" spans="1:9" x14ac:dyDescent="0.25">
      <c r="A22" s="82">
        <f t="shared" si="2"/>
        <v>12</v>
      </c>
      <c r="B22" s="82" t="str">
        <f>'B 2016-2019'!B26</f>
        <v>Turveg Hafrsfjord - Jåsund</v>
      </c>
      <c r="C22" s="89">
        <f>'B 2016-2019'!C26</f>
        <v>59674</v>
      </c>
      <c r="D22" s="90">
        <f>'B 2016-2019'!D26/1000</f>
        <v>11006</v>
      </c>
      <c r="E22" s="90">
        <f>'B 2016-2019'!E26/1000</f>
        <v>2305</v>
      </c>
      <c r="F22" s="90">
        <f>'B 2016-2019'!F26/1000</f>
        <v>0</v>
      </c>
      <c r="G22" s="249">
        <f>'B 2016-2019'!G26/1000</f>
        <v>0</v>
      </c>
      <c r="H22" s="249">
        <f>'B 2016-2019'!H26/1000</f>
        <v>0</v>
      </c>
      <c r="I22" s="249">
        <f>'B 2016-2019'!I26/1000</f>
        <v>5000</v>
      </c>
    </row>
    <row r="23" spans="1:9" ht="14.25" customHeight="1" x14ac:dyDescent="0.25">
      <c r="A23" s="82">
        <f t="shared" si="2"/>
        <v>13</v>
      </c>
      <c r="B23" s="82" t="str">
        <f>'B 2016-2019'!B27</f>
        <v>Turveg Hafrsfjord - Snøde</v>
      </c>
      <c r="C23" s="89">
        <f>'B 2016-2019'!C27</f>
        <v>59675</v>
      </c>
      <c r="D23" s="90">
        <f>'B 2016-2019'!D27/1000</f>
        <v>1000</v>
      </c>
      <c r="E23" s="90">
        <f>'B 2016-2019'!E27/1000</f>
        <v>0</v>
      </c>
      <c r="F23" s="249">
        <f>'B 2016-2019'!F27/1000</f>
        <v>0</v>
      </c>
      <c r="G23" s="249">
        <f>'B 2016-2019'!G27/1000</f>
        <v>0</v>
      </c>
      <c r="H23" s="90">
        <f>'B 2016-2019'!H27/1000</f>
        <v>0</v>
      </c>
      <c r="I23" s="90">
        <f>'B 2016-2019'!I27/1000</f>
        <v>0</v>
      </c>
    </row>
    <row r="24" spans="1:9" x14ac:dyDescent="0.25">
      <c r="A24" s="82">
        <f t="shared" si="2"/>
        <v>14</v>
      </c>
      <c r="B24" s="82" t="str">
        <f>'B 2016-2019'!B28</f>
        <v>Turveg Hafrsfjord - Sømme</v>
      </c>
      <c r="C24" s="89">
        <f>'B 2016-2019'!C28</f>
        <v>59676</v>
      </c>
      <c r="D24" s="90">
        <f>'B 2016-2019'!D28/1000</f>
        <v>1000</v>
      </c>
      <c r="E24" s="90">
        <f>'B 2016-2019'!E28/1000</f>
        <v>0</v>
      </c>
      <c r="F24" s="249">
        <f>'B 2016-2019'!F28/1000</f>
        <v>0</v>
      </c>
      <c r="G24" s="249">
        <f>'B 2016-2019'!G28/1000</f>
        <v>0</v>
      </c>
      <c r="H24" s="90">
        <f>'B 2016-2019'!H28/1000</f>
        <v>0</v>
      </c>
      <c r="I24" s="90">
        <f>'B 2016-2019'!I28/1000</f>
        <v>0</v>
      </c>
    </row>
    <row r="25" spans="1:9" s="63" customFormat="1" x14ac:dyDescent="0.25">
      <c r="A25" s="239"/>
      <c r="B25" s="242">
        <f>'B 2016-2019'!B29</f>
        <v>0</v>
      </c>
      <c r="C25" s="243">
        <f>'B 2016-2019'!C29</f>
        <v>0</v>
      </c>
      <c r="D25" s="249">
        <f>'B 2016-2019'!D29/1000</f>
        <v>0</v>
      </c>
      <c r="E25" s="249">
        <f>'B 2016-2019'!E29/1000</f>
        <v>0</v>
      </c>
      <c r="F25" s="249">
        <f>'B 2016-2019'!F29/1000</f>
        <v>0</v>
      </c>
      <c r="G25" s="249">
        <f>'B 2016-2019'!G29/1000</f>
        <v>0</v>
      </c>
      <c r="H25" s="249">
        <f>'B 2016-2019'!H29/1000</f>
        <v>0</v>
      </c>
      <c r="I25" s="249">
        <f>'B 2016-2019'!I29/1000</f>
        <v>0</v>
      </c>
    </row>
    <row r="26" spans="1:9" s="63" customFormat="1" x14ac:dyDescent="0.25">
      <c r="A26" s="239"/>
      <c r="B26" s="242">
        <f>'B 2016-2019'!B30</f>
        <v>0</v>
      </c>
      <c r="C26" s="243">
        <f>'B 2016-2019'!C30</f>
        <v>0</v>
      </c>
      <c r="D26" s="249">
        <f>'B 2016-2019'!D30/1000</f>
        <v>0</v>
      </c>
      <c r="E26" s="249">
        <f>'B 2016-2019'!E30/1000</f>
        <v>0</v>
      </c>
      <c r="F26" s="249">
        <f>'B 2016-2019'!F30/1000</f>
        <v>0</v>
      </c>
      <c r="G26" s="249">
        <f>'B 2016-2019'!G30/1000</f>
        <v>0</v>
      </c>
      <c r="H26" s="249">
        <f>'B 2016-2019'!H30/1000</f>
        <v>0</v>
      </c>
      <c r="I26" s="249">
        <f>'B 2016-2019'!I30/1000</f>
        <v>0</v>
      </c>
    </row>
    <row r="27" spans="1:9" s="63" customFormat="1" x14ac:dyDescent="0.25">
      <c r="A27" s="239"/>
      <c r="B27" s="242">
        <f>'B 2016-2019'!B31</f>
        <v>0</v>
      </c>
      <c r="C27" s="243">
        <f>'B 2016-2019'!C31</f>
        <v>0</v>
      </c>
      <c r="D27" s="249">
        <f>'B 2016-2019'!D31/1000</f>
        <v>0</v>
      </c>
      <c r="E27" s="249">
        <f>'B 2016-2019'!E31/1000</f>
        <v>0</v>
      </c>
      <c r="F27" s="249">
        <f>'B 2016-2019'!F31/1000</f>
        <v>0</v>
      </c>
      <c r="G27" s="249">
        <f>'B 2016-2019'!G31/1000</f>
        <v>0</v>
      </c>
      <c r="H27" s="249">
        <f>'B 2016-2019'!H31/1000</f>
        <v>0</v>
      </c>
      <c r="I27" s="249">
        <f>'B 2016-2019'!I31/1000</f>
        <v>0</v>
      </c>
    </row>
    <row r="28" spans="1:9" s="4" customFormat="1" x14ac:dyDescent="0.25">
      <c r="A28" s="82"/>
      <c r="B28" s="46" t="s">
        <v>46</v>
      </c>
      <c r="C28" s="46"/>
      <c r="D28" s="259"/>
      <c r="E28" s="260"/>
      <c r="F28" s="259">
        <f>SUM(F16:F27)</f>
        <v>11955</v>
      </c>
      <c r="G28" s="259">
        <f t="shared" ref="G28:I28" si="3">SUM(G16:G27)</f>
        <v>6400</v>
      </c>
      <c r="H28" s="259">
        <f t="shared" si="3"/>
        <v>0</v>
      </c>
      <c r="I28" s="259">
        <f t="shared" si="3"/>
        <v>5000</v>
      </c>
    </row>
    <row r="29" spans="1:9" ht="30" x14ac:dyDescent="0.25">
      <c r="A29" s="83" t="s">
        <v>43</v>
      </c>
      <c r="B29" s="83" t="s">
        <v>12</v>
      </c>
      <c r="C29" s="83" t="s">
        <v>1</v>
      </c>
      <c r="D29" s="84" t="s">
        <v>42</v>
      </c>
      <c r="E29" s="85" t="s">
        <v>212</v>
      </c>
      <c r="F29" s="86">
        <v>2016</v>
      </c>
      <c r="G29" s="86">
        <v>2017</v>
      </c>
      <c r="H29" s="86">
        <v>2018</v>
      </c>
      <c r="I29" s="86">
        <v>2019</v>
      </c>
    </row>
    <row r="30" spans="1:9" x14ac:dyDescent="0.25">
      <c r="A30" s="82">
        <f>A24+1</f>
        <v>15</v>
      </c>
      <c r="B30" s="82" t="str">
        <f>'B 2016-2019'!B32</f>
        <v>Samlebevilgning formål kirke</v>
      </c>
      <c r="C30" s="94"/>
      <c r="D30" s="246"/>
      <c r="E30" s="247"/>
      <c r="F30" s="90">
        <f>'B 2016-2019'!F32/1000</f>
        <v>1150</v>
      </c>
      <c r="G30" s="90">
        <f>'B 2016-2019'!G32/1000</f>
        <v>3200</v>
      </c>
      <c r="H30" s="90">
        <f>'B 2016-2019'!H32/1000</f>
        <v>500</v>
      </c>
      <c r="I30" s="90">
        <f>'B 2016-2019'!I32/1000</f>
        <v>300</v>
      </c>
    </row>
    <row r="31" spans="1:9" s="40" customFormat="1" x14ac:dyDescent="0.25">
      <c r="A31" s="82">
        <f>A30+1</f>
        <v>16</v>
      </c>
      <c r="B31" s="82" t="str">
        <f>'B 2016-2019'!B33</f>
        <v>Ny kirke Sola sentrum</v>
      </c>
      <c r="C31" s="94">
        <f>'B 2016-2019'!C33</f>
        <v>49041</v>
      </c>
      <c r="D31" s="249">
        <f>'B 2016-2019'!D33/1000</f>
        <v>87250</v>
      </c>
      <c r="E31" s="102">
        <f>'B 2016-2019'!E33/1000</f>
        <v>500</v>
      </c>
      <c r="F31" s="90">
        <f>'B 2016-2019'!F33/1000</f>
        <v>500</v>
      </c>
      <c r="G31" s="90">
        <f>'B 2016-2019'!G33/1000</f>
        <v>0</v>
      </c>
      <c r="H31" s="90">
        <f>'B 2016-2019'!H33/1000</f>
        <v>0</v>
      </c>
      <c r="I31" s="249">
        <f>'B 2016-2019'!I33/1000</f>
        <v>10000</v>
      </c>
    </row>
    <row r="32" spans="1:9" s="63" customFormat="1" x14ac:dyDescent="0.25">
      <c r="A32" s="239"/>
      <c r="B32" s="242">
        <f>'B 2016-2019'!B34</f>
        <v>0</v>
      </c>
      <c r="C32" s="244">
        <f>'B 2016-2019'!C34</f>
        <v>0</v>
      </c>
      <c r="D32" s="249">
        <f>'B 2016-2019'!D34/1000</f>
        <v>0</v>
      </c>
      <c r="E32" s="256">
        <f>'B 2016-2019'!E34/1000</f>
        <v>0</v>
      </c>
      <c r="F32" s="249">
        <f>'B 2016-2019'!F34/1000</f>
        <v>0</v>
      </c>
      <c r="G32" s="249">
        <f>'B 2016-2019'!G34/1000</f>
        <v>0</v>
      </c>
      <c r="H32" s="249">
        <f>'B 2016-2019'!H34/1000</f>
        <v>0</v>
      </c>
      <c r="I32" s="249">
        <f>'B 2016-2019'!I34/1000</f>
        <v>0</v>
      </c>
    </row>
    <row r="33" spans="1:9" s="63" customFormat="1" x14ac:dyDescent="0.25">
      <c r="A33" s="239"/>
      <c r="B33" s="242">
        <f>'B 2016-2019'!B35</f>
        <v>0</v>
      </c>
      <c r="C33" s="244">
        <f>'B 2016-2019'!C35</f>
        <v>0</v>
      </c>
      <c r="D33" s="249">
        <f>'B 2016-2019'!D35/1000</f>
        <v>0</v>
      </c>
      <c r="E33" s="256">
        <f>'B 2016-2019'!E35/1000</f>
        <v>0</v>
      </c>
      <c r="F33" s="249">
        <f>'B 2016-2019'!F35/1000</f>
        <v>0</v>
      </c>
      <c r="G33" s="249">
        <f>'B 2016-2019'!G35/1000</f>
        <v>0</v>
      </c>
      <c r="H33" s="249">
        <f>'B 2016-2019'!H35/1000</f>
        <v>0</v>
      </c>
      <c r="I33" s="249">
        <f>'B 2016-2019'!I35/1000</f>
        <v>0</v>
      </c>
    </row>
    <row r="34" spans="1:9" s="63" customFormat="1" x14ac:dyDescent="0.25">
      <c r="A34" s="239"/>
      <c r="B34" s="242">
        <f>'B 2016-2019'!B36</f>
        <v>0</v>
      </c>
      <c r="C34" s="244">
        <f>'B 2016-2019'!C36</f>
        <v>0</v>
      </c>
      <c r="D34" s="249">
        <f>'B 2016-2019'!D36/1000</f>
        <v>0</v>
      </c>
      <c r="E34" s="256">
        <f>'B 2016-2019'!E36/1000</f>
        <v>0</v>
      </c>
      <c r="F34" s="249">
        <f>'B 2016-2019'!F36/1000</f>
        <v>0</v>
      </c>
      <c r="G34" s="249">
        <f>'B 2016-2019'!G36/1000</f>
        <v>0</v>
      </c>
      <c r="H34" s="249">
        <f>'B 2016-2019'!H36/1000</f>
        <v>0</v>
      </c>
      <c r="I34" s="249">
        <f>'B 2016-2019'!I36/1000</f>
        <v>0</v>
      </c>
    </row>
    <row r="35" spans="1:9" s="2" customFormat="1" x14ac:dyDescent="0.25">
      <c r="A35" s="46"/>
      <c r="B35" s="46" t="s">
        <v>47</v>
      </c>
      <c r="C35" s="95"/>
      <c r="D35" s="259"/>
      <c r="E35" s="259"/>
      <c r="F35" s="259">
        <f>SUM(F30:F34)</f>
        <v>1650</v>
      </c>
      <c r="G35" s="259">
        <f t="shared" ref="G35:I35" si="4">SUM(G30:G34)</f>
        <v>3200</v>
      </c>
      <c r="H35" s="259">
        <f t="shared" si="4"/>
        <v>500</v>
      </c>
      <c r="I35" s="259">
        <f t="shared" si="4"/>
        <v>10300</v>
      </c>
    </row>
    <row r="36" spans="1:9" ht="30" x14ac:dyDescent="0.25">
      <c r="A36" s="83" t="s">
        <v>43</v>
      </c>
      <c r="B36" s="83" t="str">
        <f>'B 2016-2019'!A37</f>
        <v>Div. samfunnsutvikling</v>
      </c>
      <c r="C36" s="83" t="s">
        <v>1</v>
      </c>
      <c r="D36" s="84" t="s">
        <v>42</v>
      </c>
      <c r="E36" s="85" t="s">
        <v>212</v>
      </c>
      <c r="F36" s="86">
        <v>2016</v>
      </c>
      <c r="G36" s="86">
        <v>2017</v>
      </c>
      <c r="H36" s="86">
        <v>2018</v>
      </c>
      <c r="I36" s="86">
        <v>2019</v>
      </c>
    </row>
    <row r="37" spans="1:9" x14ac:dyDescent="0.25">
      <c r="A37" s="82">
        <f>A31+1</f>
        <v>17</v>
      </c>
      <c r="B37" s="82" t="str">
        <f>'B 2016-2019'!B37</f>
        <v>Samlebevilgning formål energi</v>
      </c>
      <c r="C37" s="89"/>
      <c r="D37" s="246"/>
      <c r="E37" s="247"/>
      <c r="F37" s="249">
        <f>'B 2016-2019'!F37/1000</f>
        <v>3000</v>
      </c>
      <c r="G37" s="249">
        <f>'B 2016-2019'!G37/1000</f>
        <v>3000</v>
      </c>
      <c r="H37" s="90">
        <f>'B 2016-2019'!H37/1000</f>
        <v>2000</v>
      </c>
      <c r="I37" s="90">
        <f>'B 2016-2019'!I37/1000</f>
        <v>2000</v>
      </c>
    </row>
    <row r="38" spans="1:9" x14ac:dyDescent="0.25">
      <c r="A38" s="82">
        <f>A37+1</f>
        <v>18</v>
      </c>
      <c r="B38" s="82" t="str">
        <f>'B 2016-2019'!B38</f>
        <v>Samlebevilgning formål uteareal</v>
      </c>
      <c r="C38" s="89"/>
      <c r="D38" s="246"/>
      <c r="E38" s="247"/>
      <c r="F38" s="90">
        <f>'B 2016-2019'!F38/1000</f>
        <v>6100</v>
      </c>
      <c r="G38" s="90">
        <f>'B 2016-2019'!G38/1000</f>
        <v>4100</v>
      </c>
      <c r="H38" s="90">
        <f>'B 2016-2019'!H38/1000</f>
        <v>4400</v>
      </c>
      <c r="I38" s="90">
        <f>'B 2016-2019'!I38/1000</f>
        <v>3000</v>
      </c>
    </row>
    <row r="39" spans="1:9" x14ac:dyDescent="0.25">
      <c r="A39" s="82">
        <f t="shared" ref="A39:A43" si="5">A38+1</f>
        <v>19</v>
      </c>
      <c r="B39" s="82" t="str">
        <f>'B 2016-2019'!B39</f>
        <v>Tilrettel. universell utforming komm. bygg (årsbev.)</v>
      </c>
      <c r="C39" s="89">
        <f>'B 2016-2019'!C39</f>
        <v>19017</v>
      </c>
      <c r="D39" s="246"/>
      <c r="E39" s="247"/>
      <c r="F39" s="90">
        <f>'B 2016-2019'!F39/1000</f>
        <v>500</v>
      </c>
      <c r="G39" s="90">
        <f>'B 2016-2019'!G39/1000</f>
        <v>500</v>
      </c>
      <c r="H39" s="90">
        <f>'B 2016-2019'!H39/1000</f>
        <v>500</v>
      </c>
      <c r="I39" s="90">
        <f>'B 2016-2019'!I39/1000</f>
        <v>500</v>
      </c>
    </row>
    <row r="40" spans="1:9" s="60" customFormat="1" x14ac:dyDescent="0.25">
      <c r="A40" s="82">
        <f t="shared" si="5"/>
        <v>20</v>
      </c>
      <c r="B40" s="82" t="str">
        <f>'B 2016-2019'!B40</f>
        <v>Tiltak radonoppfølging kommunale bygg (årsbev.)</v>
      </c>
      <c r="C40" s="89">
        <f>'B 2016-2019'!C40</f>
        <v>19022</v>
      </c>
      <c r="D40" s="246"/>
      <c r="E40" s="247"/>
      <c r="F40" s="90">
        <f>'B 2016-2019'!F40/1000</f>
        <v>1000</v>
      </c>
      <c r="G40" s="90">
        <f>'B 2016-2019'!G40/1000</f>
        <v>2000</v>
      </c>
      <c r="H40" s="90">
        <f>'B 2016-2019'!H40/1000</f>
        <v>1000</v>
      </c>
      <c r="I40" s="90">
        <f>'B 2016-2019'!I40/1000</f>
        <v>0</v>
      </c>
    </row>
    <row r="41" spans="1:9" s="63" customFormat="1" x14ac:dyDescent="0.25">
      <c r="A41" s="82">
        <f t="shared" si="5"/>
        <v>21</v>
      </c>
      <c r="B41" s="82" t="str">
        <f>'B 2016-2019'!B41</f>
        <v>Superlekeplass i Sola sentrum</v>
      </c>
      <c r="C41" s="89">
        <f>'B 2016-2019'!C41</f>
        <v>49645</v>
      </c>
      <c r="D41" s="249">
        <f>'B 2016-2019'!D41/1000</f>
        <v>6000</v>
      </c>
      <c r="E41" s="248">
        <f>'B 2016-2019'!E41/1000</f>
        <v>0</v>
      </c>
      <c r="F41" s="249">
        <f>'B 2016-2019'!F41/1000</f>
        <v>3000</v>
      </c>
      <c r="G41" s="249">
        <f>'B 2016-2019'!G41/1000</f>
        <v>3000</v>
      </c>
      <c r="H41" s="90">
        <f>'B 2016-2019'!H41/1000</f>
        <v>0</v>
      </c>
      <c r="I41" s="90">
        <f>'B 2016-2019'!I41/1000</f>
        <v>0</v>
      </c>
    </row>
    <row r="42" spans="1:9" x14ac:dyDescent="0.25">
      <c r="A42" s="82">
        <f t="shared" si="5"/>
        <v>22</v>
      </c>
      <c r="B42" s="82" t="str">
        <f>'B 2016-2019'!B42</f>
        <v>Intern prosjektledelse eiendomsutvikling (årsbev.)</v>
      </c>
      <c r="C42" s="89">
        <f>'B 2016-2019'!C42</f>
        <v>19600</v>
      </c>
      <c r="D42" s="246"/>
      <c r="E42" s="247"/>
      <c r="F42" s="90">
        <f>'B 2016-2019'!F42/1000</f>
        <v>6883</v>
      </c>
      <c r="G42" s="90">
        <f>'B 2016-2019'!G42/1000</f>
        <v>6883</v>
      </c>
      <c r="H42" s="90">
        <f>'B 2016-2019'!H42/1000</f>
        <v>6883</v>
      </c>
      <c r="I42" s="90">
        <f>'B 2016-2019'!I42/1000</f>
        <v>6883</v>
      </c>
    </row>
    <row r="43" spans="1:9" x14ac:dyDescent="0.25">
      <c r="A43" s="82">
        <f t="shared" si="5"/>
        <v>23</v>
      </c>
      <c r="B43" s="82" t="str">
        <f>'B 2016-2019'!B43</f>
        <v>Erverv av areal (årsbev.)</v>
      </c>
      <c r="C43" s="89">
        <f>'B 2016-2019'!C43</f>
        <v>19604</v>
      </c>
      <c r="D43" s="246"/>
      <c r="E43" s="247"/>
      <c r="F43" s="90">
        <f>'B 2016-2019'!F43/1000</f>
        <v>50350</v>
      </c>
      <c r="G43" s="90">
        <f>'B 2016-2019'!G43/1000</f>
        <v>2850</v>
      </c>
      <c r="H43" s="90">
        <f>'B 2016-2019'!H43/1000</f>
        <v>700</v>
      </c>
      <c r="I43" s="90">
        <f>'B 2016-2019'!I43/1000</f>
        <v>12010</v>
      </c>
    </row>
    <row r="44" spans="1:9" s="63" customFormat="1" x14ac:dyDescent="0.25">
      <c r="A44" s="239"/>
      <c r="B44" s="242">
        <f>'B 2016-2019'!B44</f>
        <v>0</v>
      </c>
      <c r="C44" s="243">
        <f>'B 2016-2019'!C44</f>
        <v>0</v>
      </c>
      <c r="D44" s="249">
        <f>'B 2016-2019'!D44/1000</f>
        <v>0</v>
      </c>
      <c r="E44" s="250">
        <f>'B 2016-2019'!E44/1000</f>
        <v>0</v>
      </c>
      <c r="F44" s="249">
        <f>'B 2016-2019'!F44/1000</f>
        <v>0</v>
      </c>
      <c r="G44" s="249">
        <f>'B 2016-2019'!G44/1000</f>
        <v>0</v>
      </c>
      <c r="H44" s="249">
        <f>'B 2016-2019'!H44/1000</f>
        <v>0</v>
      </c>
      <c r="I44" s="249">
        <f>'B 2016-2019'!I44/1000</f>
        <v>0</v>
      </c>
    </row>
    <row r="45" spans="1:9" s="63" customFormat="1" x14ac:dyDescent="0.25">
      <c r="A45" s="239"/>
      <c r="B45" s="242">
        <f>'B 2016-2019'!B45</f>
        <v>0</v>
      </c>
      <c r="C45" s="243">
        <f>'B 2016-2019'!C45</f>
        <v>0</v>
      </c>
      <c r="D45" s="249">
        <f>'B 2016-2019'!D45/1000</f>
        <v>0</v>
      </c>
      <c r="E45" s="250">
        <f>'B 2016-2019'!E45/1000</f>
        <v>0</v>
      </c>
      <c r="F45" s="249">
        <f>'B 2016-2019'!F45/1000</f>
        <v>0</v>
      </c>
      <c r="G45" s="249">
        <f>'B 2016-2019'!G45/1000</f>
        <v>0</v>
      </c>
      <c r="H45" s="249">
        <f>'B 2016-2019'!H45/1000</f>
        <v>0</v>
      </c>
      <c r="I45" s="249">
        <f>'B 2016-2019'!I45/1000</f>
        <v>0</v>
      </c>
    </row>
    <row r="46" spans="1:9" s="63" customFormat="1" x14ac:dyDescent="0.25">
      <c r="A46" s="239"/>
      <c r="B46" s="242">
        <f>'B 2016-2019'!B46</f>
        <v>0</v>
      </c>
      <c r="C46" s="243">
        <f>'B 2016-2019'!C46</f>
        <v>0</v>
      </c>
      <c r="D46" s="249">
        <f>'B 2016-2019'!D46/1000</f>
        <v>0</v>
      </c>
      <c r="E46" s="250">
        <f>'B 2016-2019'!E46/1000</f>
        <v>0</v>
      </c>
      <c r="F46" s="249">
        <f>'B 2016-2019'!F46/1000</f>
        <v>0</v>
      </c>
      <c r="G46" s="249">
        <f>'B 2016-2019'!G46/1000</f>
        <v>0</v>
      </c>
      <c r="H46" s="249">
        <f>'B 2016-2019'!H46/1000</f>
        <v>0</v>
      </c>
      <c r="I46" s="249">
        <f>'B 2016-2019'!I46/1000</f>
        <v>0</v>
      </c>
    </row>
    <row r="47" spans="1:9" s="2" customFormat="1" ht="14.25" customHeight="1" x14ac:dyDescent="0.25">
      <c r="A47" s="46"/>
      <c r="B47" s="46" t="s">
        <v>133</v>
      </c>
      <c r="C47" s="95"/>
      <c r="D47" s="259"/>
      <c r="E47" s="259"/>
      <c r="F47" s="259">
        <f>SUM(F37:F46)</f>
        <v>70833</v>
      </c>
      <c r="G47" s="259">
        <f t="shared" ref="G47:I47" si="6">SUM(G37:G46)</f>
        <v>22333</v>
      </c>
      <c r="H47" s="259">
        <f t="shared" si="6"/>
        <v>15483</v>
      </c>
      <c r="I47" s="259">
        <f t="shared" si="6"/>
        <v>24393</v>
      </c>
    </row>
    <row r="48" spans="1:9" ht="30" x14ac:dyDescent="0.25">
      <c r="A48" s="83" t="s">
        <v>43</v>
      </c>
      <c r="B48" s="83" t="str">
        <f>'B 2016-2019'!A91</f>
        <v>Idrett</v>
      </c>
      <c r="C48" s="83" t="s">
        <v>1</v>
      </c>
      <c r="D48" s="84" t="s">
        <v>42</v>
      </c>
      <c r="E48" s="85" t="s">
        <v>212</v>
      </c>
      <c r="F48" s="86">
        <v>2016</v>
      </c>
      <c r="G48" s="86">
        <v>2017</v>
      </c>
      <c r="H48" s="86">
        <v>2018</v>
      </c>
      <c r="I48" s="86">
        <v>2019</v>
      </c>
    </row>
    <row r="49" spans="1:9" x14ac:dyDescent="0.25">
      <c r="A49" s="45">
        <f>A43+1</f>
        <v>24</v>
      </c>
      <c r="B49" s="45" t="str">
        <f>'B 2016-2019'!B91</f>
        <v>Samlebevilgning formål idrett</v>
      </c>
      <c r="C49" s="45"/>
      <c r="D49" s="246"/>
      <c r="E49" s="247"/>
      <c r="F49" s="88">
        <f>'B 2016-2019'!F91/1000</f>
        <v>8500</v>
      </c>
      <c r="G49" s="88">
        <f>'B 2016-2019'!G91/1000</f>
        <v>3500</v>
      </c>
      <c r="H49" s="88">
        <f>'B 2016-2019'!H91/1000</f>
        <v>0</v>
      </c>
      <c r="I49" s="88">
        <f>'B 2016-2019'!I91/1000</f>
        <v>0</v>
      </c>
    </row>
    <row r="50" spans="1:9" x14ac:dyDescent="0.25">
      <c r="A50" s="82">
        <f>A49+1</f>
        <v>25</v>
      </c>
      <c r="B50" s="82" t="str">
        <f>'B 2016-2019'!B92</f>
        <v>Skytehall Forus Bedriftsidrettsarena</v>
      </c>
      <c r="C50" s="82">
        <f>'B 2016-2019'!C92</f>
        <v>49024</v>
      </c>
      <c r="D50" s="90">
        <f>'B 2016-2019'!D92/1000</f>
        <v>13125</v>
      </c>
      <c r="E50" s="90">
        <f>'B 2016-2019'!E92/1000</f>
        <v>7125</v>
      </c>
      <c r="F50" s="90">
        <f>'B 2016-2019'!F92/1000</f>
        <v>1000</v>
      </c>
      <c r="G50" s="90">
        <f>'B 2016-2019'!G92/1000</f>
        <v>5000</v>
      </c>
      <c r="H50" s="90">
        <f>'B 2016-2019'!H92/1000</f>
        <v>0</v>
      </c>
      <c r="I50" s="90">
        <f>'B 2016-2019'!I92/1000</f>
        <v>0</v>
      </c>
    </row>
    <row r="51" spans="1:9" s="63" customFormat="1" x14ac:dyDescent="0.25">
      <c r="A51" s="82">
        <f t="shared" ref="A51:A54" si="7">A50+1</f>
        <v>26</v>
      </c>
      <c r="B51" s="82" t="str">
        <f>'B 2016-2019'!B93</f>
        <v>Trimpark Hålandskogen</v>
      </c>
      <c r="C51" s="82">
        <f>'B 2016-2019'!C93</f>
        <v>49642</v>
      </c>
      <c r="D51" s="249">
        <f>'B 2016-2019'!D93/1000</f>
        <v>500</v>
      </c>
      <c r="E51" s="90">
        <f>'B 2016-2019'!E93/1000</f>
        <v>0</v>
      </c>
      <c r="F51" s="249">
        <f>'B 2016-2019'!F93/1000</f>
        <v>500</v>
      </c>
      <c r="G51" s="90">
        <f>'B 2016-2019'!G93/1000</f>
        <v>0</v>
      </c>
      <c r="H51" s="90">
        <f>'B 2016-2019'!H93/1000</f>
        <v>0</v>
      </c>
      <c r="I51" s="90">
        <f>'B 2016-2019'!I93/1000</f>
        <v>0</v>
      </c>
    </row>
    <row r="52" spans="1:9" s="63" customFormat="1" x14ac:dyDescent="0.25">
      <c r="A52" s="45">
        <f t="shared" si="7"/>
        <v>27</v>
      </c>
      <c r="B52" s="45" t="str">
        <f>'B 2016-2019'!B94</f>
        <v>Skatepark Dysjaland</v>
      </c>
      <c r="C52" s="45">
        <f>'B 2016-2019'!C94</f>
        <v>49646</v>
      </c>
      <c r="D52" s="88">
        <f>'B 2016-2019'!D94/1000</f>
        <v>300</v>
      </c>
      <c r="E52" s="88">
        <f>'B 2016-2019'!E94/1000</f>
        <v>0</v>
      </c>
      <c r="F52" s="88">
        <f>'B 2016-2019'!F94/1000</f>
        <v>300</v>
      </c>
      <c r="G52" s="88">
        <f>'B 2016-2019'!G94/1000</f>
        <v>0</v>
      </c>
      <c r="H52" s="88">
        <f>'B 2016-2019'!H94/1000</f>
        <v>0</v>
      </c>
      <c r="I52" s="88">
        <f>'B 2016-2019'!I94/1000</f>
        <v>0</v>
      </c>
    </row>
    <row r="53" spans="1:9" x14ac:dyDescent="0.25">
      <c r="A53" s="45">
        <f t="shared" si="7"/>
        <v>28</v>
      </c>
      <c r="B53" s="45" t="str">
        <f>'B 2016-2019'!B95</f>
        <v>Innskudd folkehallene</v>
      </c>
      <c r="C53" s="45">
        <f>'B 2016-2019'!C95</f>
        <v>49604</v>
      </c>
      <c r="D53" s="88">
        <f>'B 2016-2019'!D95/1000</f>
        <v>6145</v>
      </c>
      <c r="E53" s="88">
        <f>'B 2016-2019'!E95/1000</f>
        <v>825</v>
      </c>
      <c r="F53" s="88">
        <f>'B 2016-2019'!F95/1000</f>
        <v>0</v>
      </c>
      <c r="G53" s="88">
        <f>'B 2016-2019'!G95/1000</f>
        <v>5320</v>
      </c>
      <c r="H53" s="88">
        <f>'B 2016-2019'!H95/1000</f>
        <v>0</v>
      </c>
      <c r="I53" s="88">
        <f>'B 2016-2019'!I95/1000</f>
        <v>0</v>
      </c>
    </row>
    <row r="54" spans="1:9" x14ac:dyDescent="0.25">
      <c r="A54" s="45">
        <f t="shared" si="7"/>
        <v>29</v>
      </c>
      <c r="B54" s="45" t="str">
        <f>'B 2016-2019'!B96</f>
        <v>Infrastruktur regionalt sykkelanlegg</v>
      </c>
      <c r="C54" s="45">
        <f>'B 2016-2019'!C96</f>
        <v>59364</v>
      </c>
      <c r="D54" s="88">
        <f>'B 2016-2019'!D96/1000</f>
        <v>11000</v>
      </c>
      <c r="E54" s="88">
        <f>'B 2016-2019'!E96/1000</f>
        <v>0</v>
      </c>
      <c r="F54" s="88">
        <f>'B 2016-2019'!F96/1000</f>
        <v>0</v>
      </c>
      <c r="G54" s="88">
        <f>'B 2016-2019'!G96/1000</f>
        <v>5500</v>
      </c>
      <c r="H54" s="88">
        <f>'B 2016-2019'!H96/1000</f>
        <v>5500</v>
      </c>
      <c r="I54" s="88">
        <f>'B 2016-2019'!I96/1000</f>
        <v>0</v>
      </c>
    </row>
    <row r="55" spans="1:9" s="63" customFormat="1" x14ac:dyDescent="0.25">
      <c r="A55" s="239"/>
      <c r="B55" s="242" t="str">
        <f>'B 2016-2019'!B97</f>
        <v>Skatepark Stangeland</v>
      </c>
      <c r="C55" s="243">
        <f>'B 2016-2019'!C97</f>
        <v>0</v>
      </c>
      <c r="D55" s="249">
        <f>'B 2016-2019'!D97/1000</f>
        <v>250</v>
      </c>
      <c r="E55" s="249">
        <f>'B 2016-2019'!E97/1000</f>
        <v>0</v>
      </c>
      <c r="F55" s="249">
        <f>'B 2016-2019'!F97/1000</f>
        <v>250</v>
      </c>
      <c r="G55" s="249">
        <f>'B 2016-2019'!G97/1000</f>
        <v>0</v>
      </c>
      <c r="H55" s="249">
        <f>'B 2016-2019'!H97/1000</f>
        <v>0</v>
      </c>
      <c r="I55" s="249">
        <f>'B 2016-2019'!I97/1000</f>
        <v>0</v>
      </c>
    </row>
    <row r="56" spans="1:9" s="63" customFormat="1" x14ac:dyDescent="0.25">
      <c r="A56" s="239"/>
      <c r="B56" s="242">
        <f>'B 2016-2019'!B98</f>
        <v>0</v>
      </c>
      <c r="C56" s="243">
        <f>'B 2016-2019'!C98</f>
        <v>0</v>
      </c>
      <c r="D56" s="249">
        <f>'B 2016-2019'!D98/1000</f>
        <v>0</v>
      </c>
      <c r="E56" s="249">
        <f>'B 2016-2019'!E98/1000</f>
        <v>0</v>
      </c>
      <c r="F56" s="249">
        <f>'B 2016-2019'!F98/1000</f>
        <v>0</v>
      </c>
      <c r="G56" s="249">
        <f>'B 2016-2019'!G98/1000</f>
        <v>0</v>
      </c>
      <c r="H56" s="249">
        <f>'B 2016-2019'!H98/1000</f>
        <v>0</v>
      </c>
      <c r="I56" s="249">
        <f>'B 2016-2019'!I98/1000</f>
        <v>0</v>
      </c>
    </row>
    <row r="57" spans="1:9" s="63" customFormat="1" x14ac:dyDescent="0.25">
      <c r="A57" s="239"/>
      <c r="B57" s="242">
        <f>'B 2016-2019'!B99</f>
        <v>0</v>
      </c>
      <c r="C57" s="243">
        <f>'B 2016-2019'!C99</f>
        <v>0</v>
      </c>
      <c r="D57" s="249">
        <f>'B 2016-2019'!D99/1000</f>
        <v>0</v>
      </c>
      <c r="E57" s="249">
        <f>'B 2016-2019'!E99/1000</f>
        <v>0</v>
      </c>
      <c r="F57" s="249">
        <f>'B 2016-2019'!F99/1000</f>
        <v>0</v>
      </c>
      <c r="G57" s="249">
        <f>'B 2016-2019'!G99/1000</f>
        <v>0</v>
      </c>
      <c r="H57" s="249">
        <f>'B 2016-2019'!H99/1000</f>
        <v>0</v>
      </c>
      <c r="I57" s="249">
        <f>'B 2016-2019'!I99/1000</f>
        <v>0</v>
      </c>
    </row>
    <row r="58" spans="1:9" s="2" customFormat="1" x14ac:dyDescent="0.25">
      <c r="A58" s="96"/>
      <c r="B58" s="96" t="s">
        <v>62</v>
      </c>
      <c r="C58" s="96"/>
      <c r="D58" s="251"/>
      <c r="E58" s="251"/>
      <c r="F58" s="251">
        <f>SUM(F49:F57)</f>
        <v>10550</v>
      </c>
      <c r="G58" s="251">
        <f t="shared" ref="G58:I58" si="8">SUM(G49:G57)</f>
        <v>19320</v>
      </c>
      <c r="H58" s="251">
        <f t="shared" si="8"/>
        <v>5500</v>
      </c>
      <c r="I58" s="251">
        <f t="shared" si="8"/>
        <v>0</v>
      </c>
    </row>
    <row r="59" spans="1:9" ht="29.25" customHeight="1" x14ac:dyDescent="0.25">
      <c r="A59" s="83" t="s">
        <v>43</v>
      </c>
      <c r="B59" s="83" t="s">
        <v>49</v>
      </c>
      <c r="C59" s="83" t="s">
        <v>1</v>
      </c>
      <c r="D59" s="84" t="s">
        <v>42</v>
      </c>
      <c r="E59" s="85" t="s">
        <v>212</v>
      </c>
      <c r="F59" s="86">
        <v>2016</v>
      </c>
      <c r="G59" s="86">
        <v>2017</v>
      </c>
      <c r="H59" s="86">
        <v>2018</v>
      </c>
      <c r="I59" s="86">
        <v>2019</v>
      </c>
    </row>
    <row r="60" spans="1:9" x14ac:dyDescent="0.25">
      <c r="A60" s="82">
        <f>A54+1</f>
        <v>30</v>
      </c>
      <c r="B60" s="82" t="str">
        <f>'B 2016-2019'!B100</f>
        <v>A97 Rehab. pumpest. avløp (årsbev.)</v>
      </c>
      <c r="C60" s="89">
        <f>'B 2016-2019'!C100</f>
        <v>59101</v>
      </c>
      <c r="D60" s="246"/>
      <c r="E60" s="247"/>
      <c r="F60" s="90">
        <f>'B 2016-2019'!F100/1000</f>
        <v>800</v>
      </c>
      <c r="G60" s="90">
        <f>'B 2016-2019'!G100/1000</f>
        <v>1000</v>
      </c>
      <c r="H60" s="90">
        <f>'B 2016-2019'!H100/1000</f>
        <v>1000</v>
      </c>
      <c r="I60" s="90">
        <f>'B 2016-2019'!I100/1000</f>
        <v>1000</v>
      </c>
    </row>
    <row r="61" spans="1:9" x14ac:dyDescent="0.25">
      <c r="A61" s="82">
        <f>A60+1</f>
        <v>31</v>
      </c>
      <c r="B61" s="82" t="str">
        <f>'B 2016-2019'!B103</f>
        <v>R116 Renovasjon (årsbev.)</v>
      </c>
      <c r="C61" s="89">
        <f>'B 2016-2019'!C103</f>
        <v>59206</v>
      </c>
      <c r="D61" s="246"/>
      <c r="E61" s="247"/>
      <c r="F61" s="90">
        <f>'B 2016-2019'!F103/1000</f>
        <v>250</v>
      </c>
      <c r="G61" s="90">
        <f>'B 2016-2019'!G103/1000</f>
        <v>250</v>
      </c>
      <c r="H61" s="90">
        <f>'B 2016-2019'!H103/1000</f>
        <v>250</v>
      </c>
      <c r="I61" s="90">
        <f>'B 2016-2019'!I103/1000</f>
        <v>250</v>
      </c>
    </row>
    <row r="62" spans="1:9" x14ac:dyDescent="0.25">
      <c r="A62" s="82">
        <f t="shared" ref="A62:A75" si="9">A61+1</f>
        <v>32</v>
      </c>
      <c r="B62" s="45" t="str">
        <f>'B 2016-2019'!B104</f>
        <v>VA18 Bergjevegen</v>
      </c>
      <c r="C62" s="91">
        <f>'B 2016-2019'!C104</f>
        <v>59327</v>
      </c>
      <c r="D62" s="88">
        <f>SUM('B 2016-2019'!D104:D105)/1000</f>
        <v>10550</v>
      </c>
      <c r="E62" s="88">
        <f>SUM('B 2016-2019'!E104:E105)/1000</f>
        <v>0</v>
      </c>
      <c r="F62" s="88">
        <f>SUM('B 2016-2019'!F104:F105)/1000</f>
        <v>0</v>
      </c>
      <c r="G62" s="88">
        <f>SUM('B 2016-2019'!G104:G105)/1000</f>
        <v>0</v>
      </c>
      <c r="H62" s="88">
        <f>SUM('B 2016-2019'!H104:H105)/1000</f>
        <v>0</v>
      </c>
      <c r="I62" s="88">
        <f>SUM('B 2016-2019'!I104:I105)/1000</f>
        <v>3300</v>
      </c>
    </row>
    <row r="63" spans="1:9" x14ac:dyDescent="0.25">
      <c r="A63" s="82">
        <f t="shared" si="9"/>
        <v>33</v>
      </c>
      <c r="B63" s="45" t="str">
        <f>'B 2016-2019'!B106</f>
        <v>VA111 Uforutsette tiltak (årsbev.)</v>
      </c>
      <c r="C63" s="91">
        <f>'B 2016-2019'!C106</f>
        <v>59335</v>
      </c>
      <c r="D63" s="246"/>
      <c r="E63" s="247"/>
      <c r="F63" s="88">
        <f>SUM('B 2016-2019'!F106:F107)/1000</f>
        <v>1500</v>
      </c>
      <c r="G63" s="88">
        <f>SUM('B 2016-2019'!G106:G107)/1000</f>
        <v>1000</v>
      </c>
      <c r="H63" s="88">
        <f>SUM('B 2016-2019'!H106:H107)/1000</f>
        <v>1000</v>
      </c>
      <c r="I63" s="88">
        <f>SUM('B 2016-2019'!I106:I107)/1000</f>
        <v>1000</v>
      </c>
    </row>
    <row r="64" spans="1:9" x14ac:dyDescent="0.25">
      <c r="A64" s="82">
        <f t="shared" si="9"/>
        <v>34</v>
      </c>
      <c r="B64" s="45" t="str">
        <f>'B 2016-2019'!B108</f>
        <v>VAR105 Div. mask./utrustning/utstyr (årsbev.)</v>
      </c>
      <c r="C64" s="91">
        <f>'B 2016-2019'!C108</f>
        <v>59337</v>
      </c>
      <c r="D64" s="246"/>
      <c r="E64" s="247"/>
      <c r="F64" s="88">
        <f>'B 2016-2019'!F108/1000</f>
        <v>350</v>
      </c>
      <c r="G64" s="88">
        <f>'B 2016-2019'!G108/1000</f>
        <v>150</v>
      </c>
      <c r="H64" s="88">
        <f>'B 2016-2019'!H108/1000</f>
        <v>350</v>
      </c>
      <c r="I64" s="88">
        <f>'B 2016-2019'!I108/1000</f>
        <v>150</v>
      </c>
    </row>
    <row r="65" spans="1:11" x14ac:dyDescent="0.25">
      <c r="A65" s="82">
        <f t="shared" si="9"/>
        <v>35</v>
      </c>
      <c r="B65" s="45" t="str">
        <f>'B 2016-2019'!B109</f>
        <v>VA151-153 Kolnes</v>
      </c>
      <c r="C65" s="91">
        <f>'B 2016-2019'!C109</f>
        <v>59352</v>
      </c>
      <c r="D65" s="88">
        <f>SUM('B 2016-2019'!D109:D110)/1000</f>
        <v>22650</v>
      </c>
      <c r="E65" s="88">
        <f>SUM('B 2016-2019'!E109:E110)/1000</f>
        <v>6000</v>
      </c>
      <c r="F65" s="88">
        <f>SUM('B 2016-2019'!F109:F110)/1000</f>
        <v>16000</v>
      </c>
      <c r="G65" s="88">
        <f>SUM('B 2016-2019'!G109:G110)/1000</f>
        <v>650</v>
      </c>
      <c r="H65" s="88">
        <f>SUM('B 2016-2019'!H109:H110)/1000</f>
        <v>0</v>
      </c>
      <c r="I65" s="88">
        <f>SUM('B 2016-2019'!I109:I110)/1000</f>
        <v>0</v>
      </c>
    </row>
    <row r="66" spans="1:11" x14ac:dyDescent="0.25">
      <c r="A66" s="82">
        <f>A65+1</f>
        <v>36</v>
      </c>
      <c r="B66" s="45" t="str">
        <f>'B 2016-2019'!B111</f>
        <v>Tiltak ved priv. utbyggingspr. (årsbev.)</v>
      </c>
      <c r="C66" s="91">
        <f>'B 2016-2019'!C111</f>
        <v>59356</v>
      </c>
      <c r="D66" s="246"/>
      <c r="E66" s="247"/>
      <c r="F66" s="88">
        <f>SUM('B 2016-2019'!F111:F112)/1000</f>
        <v>500</v>
      </c>
      <c r="G66" s="88">
        <f>SUM('B 2016-2019'!G111:G112)/1000</f>
        <v>500</v>
      </c>
      <c r="H66" s="88">
        <f>SUM('B 2016-2019'!H111:H112)/1000</f>
        <v>500</v>
      </c>
      <c r="I66" s="88">
        <f>SUM('B 2016-2019'!I111:I112)/1000</f>
        <v>500</v>
      </c>
    </row>
    <row r="67" spans="1:11" x14ac:dyDescent="0.25">
      <c r="A67" s="82">
        <f t="shared" si="9"/>
        <v>37</v>
      </c>
      <c r="B67" s="45" t="str">
        <f>'B 2016-2019'!B113</f>
        <v>VA40 Grotnes nord</v>
      </c>
      <c r="C67" s="91">
        <f>'B 2016-2019'!C113</f>
        <v>59359</v>
      </c>
      <c r="D67" s="88">
        <f>SUM('B 2016-2019'!D113:D114)/1000</f>
        <v>18400</v>
      </c>
      <c r="E67" s="88">
        <f>SUM('B 2016-2019'!E113:E114)/1000</f>
        <v>0</v>
      </c>
      <c r="F67" s="88">
        <f>SUM('B 2016-2019'!F113:F114)/1000</f>
        <v>0</v>
      </c>
      <c r="G67" s="88">
        <f>SUM('B 2016-2019'!G113:G114)/1000</f>
        <v>0</v>
      </c>
      <c r="H67" s="88">
        <f>SUM('B 2016-2019'!H113:H114)/1000</f>
        <v>1200</v>
      </c>
      <c r="I67" s="88">
        <f>SUM('B 2016-2019'!I113:I114)/1000</f>
        <v>14000</v>
      </c>
    </row>
    <row r="68" spans="1:11" x14ac:dyDescent="0.25">
      <c r="A68" s="82">
        <f t="shared" si="9"/>
        <v>38</v>
      </c>
      <c r="B68" s="45" t="str">
        <f>'B 2016-2019'!B115</f>
        <v>VA42 Grotnes sør</v>
      </c>
      <c r="C68" s="91">
        <f>'B 2016-2019'!C115</f>
        <v>59360</v>
      </c>
      <c r="D68" s="88">
        <f>SUM('B 2016-2019'!D115:D116)/1000</f>
        <v>13900</v>
      </c>
      <c r="E68" s="88">
        <f>SUM('B 2016-2019'!E115:E116)/1000</f>
        <v>0</v>
      </c>
      <c r="F68" s="88">
        <f>SUM('B 2016-2019'!F115:F116)/1000</f>
        <v>0</v>
      </c>
      <c r="G68" s="88">
        <f>SUM('B 2016-2019'!G115:G116)/1000</f>
        <v>900</v>
      </c>
      <c r="H68" s="88">
        <f>SUM('B 2016-2019'!H115:H116)/1000</f>
        <v>10500</v>
      </c>
      <c r="I68" s="88">
        <f>SUM('B 2016-2019'!I115:I116)/1000</f>
        <v>2500</v>
      </c>
    </row>
    <row r="69" spans="1:11" s="60" customFormat="1" x14ac:dyDescent="0.25">
      <c r="A69" s="82">
        <f t="shared" si="9"/>
        <v>39</v>
      </c>
      <c r="B69" s="45" t="str">
        <f>'B 2016-2019'!B117</f>
        <v>VA, undergang Rægekrossen</v>
      </c>
      <c r="C69" s="91">
        <f>'B 2016-2019'!C117</f>
        <v>59343</v>
      </c>
      <c r="D69" s="88">
        <f>SUM('B 2016-2019'!D117:D118)/1000</f>
        <v>2000</v>
      </c>
      <c r="E69" s="88">
        <f>SUM('B 2016-2019'!E117:E118)/1000</f>
        <v>0</v>
      </c>
      <c r="F69" s="88">
        <f>SUM('B 2016-2019'!F117:F118)/1000</f>
        <v>0</v>
      </c>
      <c r="G69" s="88">
        <f>SUM('B 2016-2019'!G117:G118)/1000</f>
        <v>2000</v>
      </c>
      <c r="H69" s="88">
        <f>SUM('B 2016-2019'!H117:H118)/1000</f>
        <v>0</v>
      </c>
      <c r="I69" s="88">
        <f>SUM('B 2016-2019'!I117:I118)/1000</f>
        <v>0</v>
      </c>
    </row>
    <row r="70" spans="1:11" s="60" customFormat="1" x14ac:dyDescent="0.25">
      <c r="A70" s="82">
        <f t="shared" si="9"/>
        <v>40</v>
      </c>
      <c r="B70" s="45" t="str">
        <f>'B 2016-2019'!B119</f>
        <v>VA157, Ølbergvegen</v>
      </c>
      <c r="C70" s="91">
        <f>'B 2016-2019'!C119</f>
        <v>59312</v>
      </c>
      <c r="D70" s="88">
        <f>SUM('B 2016-2019'!D119:D120)/1000</f>
        <v>14000</v>
      </c>
      <c r="E70" s="88">
        <f>SUM('B 2016-2019'!E119:E120)/1000</f>
        <v>0</v>
      </c>
      <c r="F70" s="88">
        <f>SUM('B 2016-2019'!F119:F120)/1000</f>
        <v>14000</v>
      </c>
      <c r="G70" s="88">
        <f>SUM('B 2016-2019'!H119:H120)/1000</f>
        <v>0</v>
      </c>
      <c r="H70" s="88">
        <f>SUM('B 2016-2019'!I119:I120)/1000</f>
        <v>0</v>
      </c>
      <c r="I70" s="88">
        <f>SUM('B 2016-2019'!I119:I120)/1000</f>
        <v>0</v>
      </c>
    </row>
    <row r="71" spans="1:11" s="60" customFormat="1" x14ac:dyDescent="0.25">
      <c r="A71" s="82">
        <f t="shared" si="9"/>
        <v>41</v>
      </c>
      <c r="B71" s="45" t="str">
        <f>'B 2016-2019'!B121</f>
        <v>VA Sola sentrum</v>
      </c>
      <c r="C71" s="91">
        <f>'B 2016-2019'!C121</f>
        <v>59347</v>
      </c>
      <c r="D71" s="88">
        <f>SUM('B 2016-2019'!D121:D122)/1000</f>
        <v>17450</v>
      </c>
      <c r="E71" s="88">
        <f>SUM('B 2016-2019'!E121:E122)/1000</f>
        <v>0</v>
      </c>
      <c r="F71" s="88">
        <f>SUM('B 2016-2019'!F121:F122)/1000</f>
        <v>2650</v>
      </c>
      <c r="G71" s="88">
        <f>SUM('B 2016-2019'!G121:G122)/1000</f>
        <v>6000</v>
      </c>
      <c r="H71" s="88">
        <f>SUM('B 2016-2019'!H121:H122)/1000</f>
        <v>4000</v>
      </c>
      <c r="I71" s="88">
        <f>SUM('B 2016-2019'!I121:I122)/1000</f>
        <v>4800</v>
      </c>
    </row>
    <row r="72" spans="1:11" x14ac:dyDescent="0.25">
      <c r="A72" s="82">
        <f t="shared" si="9"/>
        <v>42</v>
      </c>
      <c r="B72" s="45" t="str">
        <f>'B 2016-2019'!B123</f>
        <v>P107 Biler/større maskiner (årsbev.)</v>
      </c>
      <c r="C72" s="91">
        <f>'B 2016-2019'!C123</f>
        <v>59901</v>
      </c>
      <c r="D72" s="246"/>
      <c r="E72" s="247"/>
      <c r="F72" s="88">
        <f>'B 2016-2019'!F123/1000</f>
        <v>1700</v>
      </c>
      <c r="G72" s="88">
        <f>'B 2016-2019'!G123/1000</f>
        <v>1200</v>
      </c>
      <c r="H72" s="88">
        <f>'B 2016-2019'!H123/1000</f>
        <v>0</v>
      </c>
      <c r="I72" s="88">
        <f>'B 2016-2019'!I123/1000</f>
        <v>1700</v>
      </c>
    </row>
    <row r="73" spans="1:11" x14ac:dyDescent="0.25">
      <c r="A73" s="82">
        <f t="shared" si="9"/>
        <v>43</v>
      </c>
      <c r="B73" s="45" t="str">
        <f>'B 2016-2019'!B124</f>
        <v>VA63 Lensmannsvegen</v>
      </c>
      <c r="C73" s="91">
        <f>'B 2016-2019'!C124</f>
        <v>59320</v>
      </c>
      <c r="D73" s="88">
        <f>SUM('B 2016-2019'!D124:D125)/1000</f>
        <v>16200</v>
      </c>
      <c r="E73" s="88">
        <f>SUM('B 2016-2019'!E124:E125)/1000</f>
        <v>2200</v>
      </c>
      <c r="F73" s="88">
        <f>SUM('B 2016-2019'!F124:F125)/1000</f>
        <v>13000</v>
      </c>
      <c r="G73" s="88">
        <f>SUM('B 2016-2019'!G124:G125)/1000</f>
        <v>1000</v>
      </c>
      <c r="H73" s="88">
        <f>SUM('B 2016-2019'!H124:H125)/1000</f>
        <v>0</v>
      </c>
      <c r="I73" s="88">
        <f>SUM('B 2016-2019'!I124:I125)/1000</f>
        <v>0</v>
      </c>
    </row>
    <row r="74" spans="1:11" x14ac:dyDescent="0.25">
      <c r="A74" s="82">
        <f t="shared" si="9"/>
        <v>44</v>
      </c>
      <c r="B74" s="45" t="str">
        <f>'B 2016-2019'!B126</f>
        <v>VA49 Røyneberg (vann)</v>
      </c>
      <c r="C74" s="91">
        <f>'B 2016-2019'!C126</f>
        <v>59339</v>
      </c>
      <c r="D74" s="88">
        <f>'B 2016-2019'!D126/1000</f>
        <v>13000</v>
      </c>
      <c r="E74" s="88">
        <f>'B 2016-2019'!E126/1000</f>
        <v>0</v>
      </c>
      <c r="F74" s="88">
        <f>SUM('B 2016-2019'!F126)/1000</f>
        <v>6000</v>
      </c>
      <c r="G74" s="88">
        <f>SUM('B 2016-2019'!G126)/1000</f>
        <v>1000</v>
      </c>
      <c r="H74" s="88">
        <f>SUM('B 2016-2019'!H126)/1000</f>
        <v>4000</v>
      </c>
      <c r="I74" s="88">
        <f>SUM('B 2016-2019'!I126)/1000</f>
        <v>2000</v>
      </c>
    </row>
    <row r="75" spans="1:11" x14ac:dyDescent="0.25">
      <c r="A75" s="82">
        <f t="shared" si="9"/>
        <v>45</v>
      </c>
      <c r="B75" s="45" t="str">
        <f>'B 2016-2019'!B101</f>
        <v>Omlegging av VA-ledninger, Sømmevågen</v>
      </c>
      <c r="C75" s="91">
        <f>'B 2016-2019'!C101</f>
        <v>59341</v>
      </c>
      <c r="D75" s="88">
        <f>SUM('B 2016-2019'!D101:D102)/1000</f>
        <v>5000</v>
      </c>
      <c r="E75" s="88">
        <f>SUM('B 2016-2019'!E101:E102)/1000</f>
        <v>0</v>
      </c>
      <c r="F75" s="88">
        <f>SUM('B 2016-2019'!F101:F102)/1000</f>
        <v>5000</v>
      </c>
      <c r="G75" s="88">
        <f>SUM('B 2016-2019'!G101:G102)/1000</f>
        <v>0</v>
      </c>
      <c r="H75" s="88">
        <f>SUM('B 2016-2019'!H101:H102)/1000</f>
        <v>0</v>
      </c>
      <c r="I75" s="88">
        <f>SUM('B 2016-2019'!I101:I102)/1000</f>
        <v>0</v>
      </c>
    </row>
    <row r="76" spans="1:11" s="63" customFormat="1" x14ac:dyDescent="0.25">
      <c r="A76" s="239"/>
      <c r="B76" s="242">
        <f>'B 2016-2019'!B127</f>
        <v>0</v>
      </c>
      <c r="C76" s="243">
        <f>'B 2016-2019'!C127</f>
        <v>0</v>
      </c>
      <c r="D76" s="249">
        <f>'B 2016-2019'!D127</f>
        <v>0</v>
      </c>
      <c r="E76" s="249">
        <f>'B 2016-2019'!E127</f>
        <v>0</v>
      </c>
      <c r="F76" s="249">
        <f>'B 2016-2019'!F127</f>
        <v>0</v>
      </c>
      <c r="G76" s="249">
        <f>'B 2016-2019'!G127</f>
        <v>0</v>
      </c>
      <c r="H76" s="249">
        <f>'B 2016-2019'!H127</f>
        <v>0</v>
      </c>
      <c r="I76" s="249">
        <f>'B 2016-2019'!I127</f>
        <v>0</v>
      </c>
    </row>
    <row r="77" spans="1:11" s="63" customFormat="1" x14ac:dyDescent="0.25">
      <c r="A77" s="239"/>
      <c r="B77" s="242">
        <f>'B 2016-2019'!B128</f>
        <v>0</v>
      </c>
      <c r="C77" s="243">
        <f>'B 2016-2019'!C128</f>
        <v>0</v>
      </c>
      <c r="D77" s="249">
        <f>'B 2016-2019'!D128</f>
        <v>0</v>
      </c>
      <c r="E77" s="249">
        <f>'B 2016-2019'!E128</f>
        <v>0</v>
      </c>
      <c r="F77" s="249">
        <f>'B 2016-2019'!F128</f>
        <v>0</v>
      </c>
      <c r="G77" s="249">
        <f>'B 2016-2019'!G128</f>
        <v>0</v>
      </c>
      <c r="H77" s="249">
        <f>'B 2016-2019'!H128</f>
        <v>0</v>
      </c>
      <c r="I77" s="249">
        <f>'B 2016-2019'!I128</f>
        <v>0</v>
      </c>
    </row>
    <row r="78" spans="1:11" s="63" customFormat="1" x14ac:dyDescent="0.25">
      <c r="A78" s="239"/>
      <c r="B78" s="242">
        <f>'B 2016-2019'!B129</f>
        <v>0</v>
      </c>
      <c r="C78" s="243">
        <f>'B 2016-2019'!C129</f>
        <v>0</v>
      </c>
      <c r="D78" s="249">
        <f>'B 2016-2019'!D129</f>
        <v>0</v>
      </c>
      <c r="E78" s="249">
        <f>'B 2016-2019'!E129</f>
        <v>0</v>
      </c>
      <c r="F78" s="249">
        <f>'B 2016-2019'!F129</f>
        <v>0</v>
      </c>
      <c r="G78" s="249">
        <f>'B 2016-2019'!G129</f>
        <v>0</v>
      </c>
      <c r="H78" s="249">
        <f>'B 2016-2019'!H129</f>
        <v>0</v>
      </c>
      <c r="I78" s="249">
        <f>'B 2016-2019'!I129</f>
        <v>0</v>
      </c>
    </row>
    <row r="79" spans="1:11" x14ac:dyDescent="0.25">
      <c r="A79" s="45"/>
      <c r="B79" s="96" t="s">
        <v>50</v>
      </c>
      <c r="C79" s="91"/>
      <c r="D79" s="88"/>
      <c r="E79" s="88"/>
      <c r="F79" s="251">
        <f>SUM(F60:F78)</f>
        <v>61750</v>
      </c>
      <c r="G79" s="251">
        <f t="shared" ref="G79:I79" si="10">SUM(G60:G78)</f>
        <v>15650</v>
      </c>
      <c r="H79" s="251">
        <f t="shared" si="10"/>
        <v>22800</v>
      </c>
      <c r="I79" s="251">
        <f t="shared" si="10"/>
        <v>31200</v>
      </c>
      <c r="K79" s="23" t="e">
        <f>#REF!+F79+G79+H79</f>
        <v>#REF!</v>
      </c>
    </row>
    <row r="80" spans="1:11" ht="30" x14ac:dyDescent="0.25">
      <c r="A80" s="83" t="s">
        <v>43</v>
      </c>
      <c r="B80" s="83" t="s">
        <v>51</v>
      </c>
      <c r="C80" s="83" t="s">
        <v>1</v>
      </c>
      <c r="D80" s="84" t="s">
        <v>42</v>
      </c>
      <c r="E80" s="85" t="s">
        <v>212</v>
      </c>
      <c r="F80" s="86">
        <v>2016</v>
      </c>
      <c r="G80" s="86">
        <v>2017</v>
      </c>
      <c r="H80" s="86">
        <v>2018</v>
      </c>
      <c r="I80" s="86">
        <v>2019</v>
      </c>
    </row>
    <row r="81" spans="1:9" x14ac:dyDescent="0.25">
      <c r="A81" s="45">
        <f>A75+1</f>
        <v>46</v>
      </c>
      <c r="B81" s="45" t="str">
        <f>'B 2016-2019'!B130</f>
        <v>Utskiftning gatelys, standardheving (årsbev.)</v>
      </c>
      <c r="C81" s="91">
        <f>'B 2016-2019'!C130</f>
        <v>59406</v>
      </c>
      <c r="D81" s="246"/>
      <c r="E81" s="247"/>
      <c r="F81" s="88">
        <f>'B 2016-2019'!F130/1000</f>
        <v>2000</v>
      </c>
      <c r="G81" s="88">
        <f>'B 2016-2019'!G130/1000</f>
        <v>1500</v>
      </c>
      <c r="H81" s="88">
        <f>'B 2016-2019'!H130/1000</f>
        <v>1000</v>
      </c>
      <c r="I81" s="88">
        <f>'B 2016-2019'!I130/1000</f>
        <v>1000</v>
      </c>
    </row>
    <row r="82" spans="1:9" x14ac:dyDescent="0.25">
      <c r="A82" s="45">
        <f>A81+1</f>
        <v>47</v>
      </c>
      <c r="B82" s="45" t="str">
        <f>'B 2016-2019'!B132</f>
        <v>Trafikksikkerhetsplan, standardheving veger (årsbev.)</v>
      </c>
      <c r="C82" s="91">
        <f>'B 2016-2019'!C132</f>
        <v>59419</v>
      </c>
      <c r="D82" s="246"/>
      <c r="E82" s="247"/>
      <c r="F82" s="88">
        <f>'B 2016-2019'!F132/1000</f>
        <v>500</v>
      </c>
      <c r="G82" s="88">
        <f>'B 2016-2019'!G132/1000</f>
        <v>500</v>
      </c>
      <c r="H82" s="88">
        <f>'B 2016-2019'!H132/1000</f>
        <v>500</v>
      </c>
      <c r="I82" s="88">
        <f>'B 2016-2019'!I132/1000</f>
        <v>500</v>
      </c>
    </row>
    <row r="83" spans="1:9" x14ac:dyDescent="0.25">
      <c r="A83" s="45">
        <f t="shared" ref="A83:A86" si="11">A82+1</f>
        <v>48</v>
      </c>
      <c r="B83" s="45" t="str">
        <f>'B 2016-2019'!B133</f>
        <v>Trafikksikkerhetsplan, ikke spesifikke tiltak (årsbev.)</v>
      </c>
      <c r="C83" s="91">
        <f>'B 2016-2019'!C133</f>
        <v>59425</v>
      </c>
      <c r="D83" s="246"/>
      <c r="E83" s="247"/>
      <c r="F83" s="88">
        <f>'B 2016-2019'!F133/1000</f>
        <v>1100</v>
      </c>
      <c r="G83" s="88">
        <f>'B 2016-2019'!G133/1000</f>
        <v>1100</v>
      </c>
      <c r="H83" s="88">
        <f>'B 2016-2019'!H133/1000</f>
        <v>1100</v>
      </c>
      <c r="I83" s="88">
        <f>'B 2016-2019'!I133/1000</f>
        <v>1100</v>
      </c>
    </row>
    <row r="84" spans="1:9" x14ac:dyDescent="0.25">
      <c r="A84" s="45">
        <f t="shared" si="11"/>
        <v>49</v>
      </c>
      <c r="B84" s="45" t="str">
        <f>'B 2016-2019'!B134</f>
        <v>Småanlegg veger (busskur mv.) (årsbev.)</v>
      </c>
      <c r="C84" s="91">
        <f>'B 2016-2019'!C134</f>
        <v>59437</v>
      </c>
      <c r="D84" s="246"/>
      <c r="E84" s="247"/>
      <c r="F84" s="88">
        <f>'B 2016-2019'!F134/1000</f>
        <v>400</v>
      </c>
      <c r="G84" s="88">
        <f>'B 2016-2019'!G134/1000</f>
        <v>400</v>
      </c>
      <c r="H84" s="88">
        <f>'B 2016-2019'!H134/1000</f>
        <v>400</v>
      </c>
      <c r="I84" s="88">
        <f>'B 2016-2019'!I134/1000</f>
        <v>400</v>
      </c>
    </row>
    <row r="85" spans="1:9" x14ac:dyDescent="0.25">
      <c r="A85" s="45">
        <f t="shared" si="11"/>
        <v>50</v>
      </c>
      <c r="B85" s="45" t="str">
        <f>'B 2016-2019'!B135</f>
        <v>Ræge kirke, ny veg</v>
      </c>
      <c r="C85" s="91">
        <f>'B 2016-2019'!C135</f>
        <v>59440</v>
      </c>
      <c r="D85" s="88">
        <f>'B 2016-2019'!D135/1000</f>
        <v>935</v>
      </c>
      <c r="E85" s="88">
        <f>'B 2016-2019'!E135/1000</f>
        <v>35</v>
      </c>
      <c r="F85" s="88">
        <f>'B 2016-2019'!F135/1000</f>
        <v>900</v>
      </c>
      <c r="G85" s="88">
        <f>'B 2016-2019'!G135/1000</f>
        <v>0</v>
      </c>
      <c r="H85" s="88">
        <f>'B 2016-2019'!H135/1000</f>
        <v>0</v>
      </c>
      <c r="I85" s="88">
        <f>'B 2016-2019'!I135/1000</f>
        <v>0</v>
      </c>
    </row>
    <row r="86" spans="1:9" x14ac:dyDescent="0.25">
      <c r="A86" s="45">
        <f t="shared" si="11"/>
        <v>51</v>
      </c>
      <c r="B86" s="45" t="str">
        <f>'B 2016-2019'!B131</f>
        <v>Ombygging av kryss, Sømmekroken</v>
      </c>
      <c r="C86" s="91">
        <f>'B 2016-2019'!C131</f>
        <v>59434</v>
      </c>
      <c r="D86" s="88">
        <f>'B 2016-2019'!D131/1000</f>
        <v>500</v>
      </c>
      <c r="E86" s="88">
        <f>'B 2016-2019'!E131/1000</f>
        <v>0</v>
      </c>
      <c r="F86" s="88">
        <f>'B 2016-2019'!F131/1000</f>
        <v>500</v>
      </c>
      <c r="G86" s="88">
        <f>'B 2016-2019'!G131/1000</f>
        <v>0</v>
      </c>
      <c r="H86" s="88">
        <f>'B 2016-2019'!H131/1000</f>
        <v>0</v>
      </c>
      <c r="I86" s="88">
        <f>'B 2016-2019'!I131/1000</f>
        <v>0</v>
      </c>
    </row>
    <row r="87" spans="1:9" s="63" customFormat="1" x14ac:dyDescent="0.25">
      <c r="A87" s="239"/>
      <c r="B87" s="242">
        <f>'B 2016-2019'!B136</f>
        <v>0</v>
      </c>
      <c r="C87" s="243">
        <f>'B 2016-2019'!C136</f>
        <v>0</v>
      </c>
      <c r="D87" s="257">
        <f>'B 2016-2019'!D136</f>
        <v>0</v>
      </c>
      <c r="E87" s="258">
        <f>'B 2016-2019'!E136</f>
        <v>0</v>
      </c>
      <c r="F87" s="257">
        <f>'B 2016-2019'!F136</f>
        <v>0</v>
      </c>
      <c r="G87" s="257">
        <f>'B 2016-2019'!G136</f>
        <v>0</v>
      </c>
      <c r="H87" s="257">
        <f>'B 2016-2019'!H136</f>
        <v>0</v>
      </c>
      <c r="I87" s="257">
        <f>'B 2016-2019'!I136</f>
        <v>0</v>
      </c>
    </row>
    <row r="88" spans="1:9" s="63" customFormat="1" x14ac:dyDescent="0.25">
      <c r="A88" s="239"/>
      <c r="B88" s="242">
        <f>'B 2016-2019'!B137</f>
        <v>0</v>
      </c>
      <c r="C88" s="243">
        <f>'B 2016-2019'!C137</f>
        <v>0</v>
      </c>
      <c r="D88" s="257">
        <f>'B 2016-2019'!D137</f>
        <v>0</v>
      </c>
      <c r="E88" s="258">
        <f>'B 2016-2019'!E137</f>
        <v>0</v>
      </c>
      <c r="F88" s="257">
        <f>'B 2016-2019'!F137</f>
        <v>0</v>
      </c>
      <c r="G88" s="257">
        <f>'B 2016-2019'!G137</f>
        <v>0</v>
      </c>
      <c r="H88" s="257">
        <f>'B 2016-2019'!H137</f>
        <v>0</v>
      </c>
      <c r="I88" s="257">
        <f>'B 2016-2019'!I137</f>
        <v>0</v>
      </c>
    </row>
    <row r="89" spans="1:9" s="63" customFormat="1" x14ac:dyDescent="0.25">
      <c r="A89" s="239"/>
      <c r="B89" s="242">
        <f>'B 2016-2019'!B138</f>
        <v>0</v>
      </c>
      <c r="C89" s="243">
        <f>'B 2016-2019'!C138</f>
        <v>0</v>
      </c>
      <c r="D89" s="257">
        <f>'B 2016-2019'!D138</f>
        <v>0</v>
      </c>
      <c r="E89" s="258">
        <f>'B 2016-2019'!E138</f>
        <v>0</v>
      </c>
      <c r="F89" s="257">
        <f>'B 2016-2019'!F138</f>
        <v>0</v>
      </c>
      <c r="G89" s="257">
        <f>'B 2016-2019'!G138</f>
        <v>0</v>
      </c>
      <c r="H89" s="257">
        <f>'B 2016-2019'!H138</f>
        <v>0</v>
      </c>
      <c r="I89" s="257">
        <f>'B 2016-2019'!I138</f>
        <v>0</v>
      </c>
    </row>
    <row r="90" spans="1:9" x14ac:dyDescent="0.25">
      <c r="A90" s="45"/>
      <c r="B90" s="96" t="s">
        <v>52</v>
      </c>
      <c r="C90" s="97"/>
      <c r="D90" s="251"/>
      <c r="E90" s="251"/>
      <c r="F90" s="251">
        <f>SUM(F81:F89)</f>
        <v>5400</v>
      </c>
      <c r="G90" s="251">
        <f t="shared" ref="G90:I90" si="12">SUM(G81:G89)</f>
        <v>3500</v>
      </c>
      <c r="H90" s="251">
        <f t="shared" si="12"/>
        <v>3000</v>
      </c>
      <c r="I90" s="251">
        <f t="shared" si="12"/>
        <v>3000</v>
      </c>
    </row>
    <row r="91" spans="1:9" x14ac:dyDescent="0.25">
      <c r="A91" s="98"/>
      <c r="B91" s="93" t="s">
        <v>54</v>
      </c>
      <c r="C91" s="99"/>
      <c r="D91" s="252"/>
      <c r="E91" s="252"/>
      <c r="F91" s="252">
        <f>F28+F35+F47+F58+F79+F90</f>
        <v>162138</v>
      </c>
      <c r="G91" s="252">
        <f>G28+G35+G47+G58+G79+G90</f>
        <v>70403</v>
      </c>
      <c r="H91" s="252">
        <f>H28+H35+H47+H58+H79+H90</f>
        <v>47283</v>
      </c>
      <c r="I91" s="252">
        <f>I28+I35+I47+I58+I79+I90</f>
        <v>73893</v>
      </c>
    </row>
    <row r="92" spans="1:9" ht="28.5" customHeight="1" x14ac:dyDescent="0.25">
      <c r="A92" s="316" t="str">
        <f>'B 2016-2019'!A47</f>
        <v>Kultur</v>
      </c>
      <c r="B92" s="316"/>
      <c r="C92" s="316"/>
      <c r="D92" s="316"/>
      <c r="E92" s="316"/>
      <c r="F92" s="316"/>
      <c r="G92" s="316"/>
      <c r="H92" s="316"/>
      <c r="I92" s="316"/>
    </row>
    <row r="93" spans="1:9" ht="30" x14ac:dyDescent="0.25">
      <c r="A93" s="83" t="s">
        <v>43</v>
      </c>
      <c r="B93" s="83" t="str">
        <f>'B 2016-2019'!A47</f>
        <v>Kultur</v>
      </c>
      <c r="C93" s="83" t="s">
        <v>1</v>
      </c>
      <c r="D93" s="84" t="s">
        <v>42</v>
      </c>
      <c r="E93" s="85" t="s">
        <v>212</v>
      </c>
      <c r="F93" s="86">
        <v>2016</v>
      </c>
      <c r="G93" s="86">
        <v>2017</v>
      </c>
      <c r="H93" s="86">
        <v>2018</v>
      </c>
      <c r="I93" s="86">
        <v>2019</v>
      </c>
    </row>
    <row r="94" spans="1:9" x14ac:dyDescent="0.25">
      <c r="A94" s="45">
        <f>A86+1</f>
        <v>52</v>
      </c>
      <c r="B94" s="45" t="str">
        <f>'B 2016-2019'!B47</f>
        <v xml:space="preserve">Samlebevilgning formål kultur </v>
      </c>
      <c r="C94" s="91"/>
      <c r="D94" s="246"/>
      <c r="E94" s="247"/>
      <c r="F94" s="88">
        <f>'B 2016-2019'!F47/1000</f>
        <v>2021</v>
      </c>
      <c r="G94" s="88">
        <f>'B 2016-2019'!G47/1000</f>
        <v>200</v>
      </c>
      <c r="H94" s="88">
        <f>'B 2016-2019'!H47/1000</f>
        <v>200</v>
      </c>
      <c r="I94" s="88">
        <f>'B 2016-2019'!I47/1000</f>
        <v>1240</v>
      </c>
    </row>
    <row r="95" spans="1:9" x14ac:dyDescent="0.25">
      <c r="A95" s="45">
        <f>A94+1</f>
        <v>53</v>
      </c>
      <c r="B95" s="45" t="str">
        <f>'B 2016-2019'!B48</f>
        <v>Krigshistorisk museum, Sømmevågen</v>
      </c>
      <c r="C95" s="91">
        <f>'B 2016-2019'!C48</f>
        <v>49040</v>
      </c>
      <c r="D95" s="90">
        <f>'B 2016-2019'!D48/1000</f>
        <v>2600</v>
      </c>
      <c r="E95" s="90">
        <f>'B 2016-2019'!E48/1000</f>
        <v>1000</v>
      </c>
      <c r="F95" s="102">
        <f>'B 2016-2019'!F48/1000</f>
        <v>1600</v>
      </c>
      <c r="G95" s="102">
        <f>'B 2016-2019'!G48/1000</f>
        <v>0</v>
      </c>
      <c r="H95" s="102">
        <f>'B 2016-2019'!H48/1000</f>
        <v>0</v>
      </c>
      <c r="I95" s="102">
        <f>'B 2016-2019'!I48/1000</f>
        <v>0</v>
      </c>
    </row>
    <row r="96" spans="1:9" s="63" customFormat="1" x14ac:dyDescent="0.25">
      <c r="A96" s="239"/>
      <c r="B96" s="242">
        <f>'B 2016-2019'!B49</f>
        <v>0</v>
      </c>
      <c r="C96" s="243">
        <f>'B 2016-2019'!C49</f>
        <v>0</v>
      </c>
      <c r="D96" s="249">
        <f>'B 2016-2019'!D49/1000</f>
        <v>0</v>
      </c>
      <c r="E96" s="249">
        <f>'B 2016-2019'!E49/1000</f>
        <v>0</v>
      </c>
      <c r="F96" s="256">
        <f>'B 2016-2019'!F49/1000</f>
        <v>0</v>
      </c>
      <c r="G96" s="256">
        <f>'B 2016-2019'!G49/1000</f>
        <v>0</v>
      </c>
      <c r="H96" s="256">
        <f>'B 2016-2019'!H49/1000</f>
        <v>0</v>
      </c>
      <c r="I96" s="256">
        <f>'B 2016-2019'!I49/1000</f>
        <v>0</v>
      </c>
    </row>
    <row r="97" spans="1:9" s="63" customFormat="1" x14ac:dyDescent="0.25">
      <c r="A97" s="239"/>
      <c r="B97" s="242">
        <f>'B 2016-2019'!B50</f>
        <v>0</v>
      </c>
      <c r="C97" s="243">
        <f>'B 2016-2019'!C50</f>
        <v>0</v>
      </c>
      <c r="D97" s="249">
        <f>'B 2016-2019'!D50/1000</f>
        <v>0</v>
      </c>
      <c r="E97" s="249">
        <f>'B 2016-2019'!E50/1000</f>
        <v>0</v>
      </c>
      <c r="F97" s="256">
        <f>'B 2016-2019'!F50/1000</f>
        <v>0</v>
      </c>
      <c r="G97" s="256">
        <f>'B 2016-2019'!G50/1000</f>
        <v>0</v>
      </c>
      <c r="H97" s="256">
        <f>'B 2016-2019'!H50/1000</f>
        <v>0</v>
      </c>
      <c r="I97" s="256">
        <f>'B 2016-2019'!I50/1000</f>
        <v>0</v>
      </c>
    </row>
    <row r="98" spans="1:9" s="63" customFormat="1" x14ac:dyDescent="0.25">
      <c r="A98" s="239"/>
      <c r="B98" s="242">
        <f>'B 2016-2019'!B51</f>
        <v>0</v>
      </c>
      <c r="C98" s="243">
        <f>'B 2016-2019'!C51</f>
        <v>0</v>
      </c>
      <c r="D98" s="249">
        <f>'B 2016-2019'!D51/1000</f>
        <v>0</v>
      </c>
      <c r="E98" s="249">
        <f>'B 2016-2019'!E51/1000</f>
        <v>0</v>
      </c>
      <c r="F98" s="256">
        <f>'B 2016-2019'!F51/1000</f>
        <v>0</v>
      </c>
      <c r="G98" s="256">
        <f>'B 2016-2019'!G51/1000</f>
        <v>0</v>
      </c>
      <c r="H98" s="256">
        <f>'B 2016-2019'!H51/1000</f>
        <v>0</v>
      </c>
      <c r="I98" s="256">
        <f>'B 2016-2019'!I51/1000</f>
        <v>0</v>
      </c>
    </row>
    <row r="99" spans="1:9" s="2" customFormat="1" x14ac:dyDescent="0.25">
      <c r="A99" s="93"/>
      <c r="B99" s="93" t="s">
        <v>200</v>
      </c>
      <c r="C99" s="99"/>
      <c r="D99" s="252"/>
      <c r="E99" s="252"/>
      <c r="F99" s="252">
        <f>SUM(F94:F98)</f>
        <v>3621</v>
      </c>
      <c r="G99" s="252">
        <f t="shared" ref="G99:I99" si="13">SUM(G94:G98)</f>
        <v>200</v>
      </c>
      <c r="H99" s="252">
        <f t="shared" si="13"/>
        <v>200</v>
      </c>
      <c r="I99" s="252">
        <f t="shared" si="13"/>
        <v>1240</v>
      </c>
    </row>
    <row r="100" spans="1:9" ht="29.25" customHeight="1" x14ac:dyDescent="0.25">
      <c r="A100" s="316" t="s">
        <v>55</v>
      </c>
      <c r="B100" s="316"/>
      <c r="C100" s="316"/>
      <c r="D100" s="316"/>
      <c r="E100" s="316"/>
      <c r="F100" s="316"/>
      <c r="G100" s="316"/>
      <c r="H100" s="316"/>
      <c r="I100" s="316"/>
    </row>
    <row r="101" spans="1:9" ht="30" x14ac:dyDescent="0.25">
      <c r="A101" s="83" t="s">
        <v>43</v>
      </c>
      <c r="B101" s="83" t="s">
        <v>199</v>
      </c>
      <c r="C101" s="83" t="s">
        <v>1</v>
      </c>
      <c r="D101" s="84" t="s">
        <v>42</v>
      </c>
      <c r="E101" s="85" t="s">
        <v>212</v>
      </c>
      <c r="F101" s="86">
        <v>2016</v>
      </c>
      <c r="G101" s="86">
        <v>2017</v>
      </c>
      <c r="H101" s="86">
        <v>2018</v>
      </c>
      <c r="I101" s="86">
        <v>2019</v>
      </c>
    </row>
    <row r="102" spans="1:9" x14ac:dyDescent="0.25">
      <c r="A102" s="45">
        <f>A95+1</f>
        <v>54</v>
      </c>
      <c r="B102" s="45" t="str">
        <f>'B 2016-2019'!B52</f>
        <v>Skadbergv./Åsenv. lavbl. (10 komm. leil.)(BSHP)</v>
      </c>
      <c r="C102" s="91">
        <f>'B 2016-2019'!C52</f>
        <v>39074</v>
      </c>
      <c r="D102" s="88">
        <f>'B 2016-2019'!D52/1000</f>
        <v>25194</v>
      </c>
      <c r="E102" s="88">
        <f>'B 2016-2019'!E52/1000</f>
        <v>22106</v>
      </c>
      <c r="F102" s="88">
        <f>'B 2016-2019'!F52/1000</f>
        <v>3088</v>
      </c>
      <c r="G102" s="88">
        <f>'B 2016-2019'!G52/1000</f>
        <v>0</v>
      </c>
      <c r="H102" s="88">
        <f>'B 2016-2019'!H52/1000</f>
        <v>0</v>
      </c>
      <c r="I102" s="88">
        <f>'B 2016-2019'!I52/1000</f>
        <v>0</v>
      </c>
    </row>
    <row r="103" spans="1:9" x14ac:dyDescent="0.25">
      <c r="A103" s="45">
        <f>A102+1</f>
        <v>55</v>
      </c>
      <c r="B103" s="45" t="str">
        <f>'B 2016-2019'!B53</f>
        <v>Bokollektiv Skadbergv./Åsenv. (4 leil. + pers.base) (BSHP)</v>
      </c>
      <c r="C103" s="91">
        <f>'B 2016-2019'!C53</f>
        <v>39050</v>
      </c>
      <c r="D103" s="88">
        <f>'B 2016-2019'!D53/1000</f>
        <v>9686</v>
      </c>
      <c r="E103" s="88">
        <f>'B 2016-2019'!E53/1000</f>
        <v>7482</v>
      </c>
      <c r="F103" s="88">
        <f>'B 2016-2019'!F53/1000</f>
        <v>2204</v>
      </c>
      <c r="G103" s="88">
        <f>'B 2016-2019'!G53/1000</f>
        <v>0</v>
      </c>
      <c r="H103" s="88">
        <f>'B 2016-2019'!H53/1000</f>
        <v>0</v>
      </c>
      <c r="I103" s="88">
        <f>'B 2016-2019'!I53/1000</f>
        <v>0</v>
      </c>
    </row>
    <row r="104" spans="1:9" x14ac:dyDescent="0.25">
      <c r="A104" s="45">
        <f t="shared" ref="A104:A108" si="14">A103+1</f>
        <v>56</v>
      </c>
      <c r="B104" s="45" t="str">
        <f>'B 2016-2019'!B58</f>
        <v>4 boliger m/base, Kjelsberg ring (rus/psyk.)</v>
      </c>
      <c r="C104" s="91">
        <f>'B 2016-2019'!C58</f>
        <v>39093</v>
      </c>
      <c r="D104" s="254">
        <f>'B 2016-2019'!D58/1000</f>
        <v>23000</v>
      </c>
      <c r="E104" s="254">
        <f>'B 2016-2019'!E58/1000</f>
        <v>500</v>
      </c>
      <c r="F104" s="255">
        <f>'B 2016-2019'!F58/1000</f>
        <v>1250</v>
      </c>
      <c r="G104" s="255">
        <f>'B 2016-2019'!G58/1000</f>
        <v>11250</v>
      </c>
      <c r="H104" s="255">
        <f>'B 2016-2019'!H58/1000</f>
        <v>10000</v>
      </c>
      <c r="I104" s="255">
        <f>'B 2016-2019'!I58/1000</f>
        <v>0</v>
      </c>
    </row>
    <row r="105" spans="1:9" x14ac:dyDescent="0.25">
      <c r="A105" s="45">
        <f t="shared" si="14"/>
        <v>57</v>
      </c>
      <c r="B105" s="45" t="str">
        <f>'B 2016-2019'!B55</f>
        <v>Småhus, midlertidige/permanente</v>
      </c>
      <c r="C105" s="91">
        <f>'B 2016-2019'!C55</f>
        <v>39087</v>
      </c>
      <c r="D105" s="88">
        <f>'B 2016-2019'!D55/1000</f>
        <v>21550</v>
      </c>
      <c r="E105" s="88">
        <f>'B 2016-2019'!E55/1000</f>
        <v>10750</v>
      </c>
      <c r="F105" s="88">
        <f>'B 2016-2019'!F55/1000</f>
        <v>3600</v>
      </c>
      <c r="G105" s="88">
        <f>'B 2016-2019'!G55/1000</f>
        <v>3600</v>
      </c>
      <c r="H105" s="88">
        <f>'B 2016-2019'!H55/1000</f>
        <v>0</v>
      </c>
      <c r="I105" s="88">
        <f>'B 2016-2019'!I55/1000</f>
        <v>3600</v>
      </c>
    </row>
    <row r="106" spans="1:9" s="60" customFormat="1" x14ac:dyDescent="0.25">
      <c r="A106" s="45">
        <f t="shared" si="14"/>
        <v>58</v>
      </c>
      <c r="B106" s="45" t="str">
        <f>'B 2016-2019'!B56</f>
        <v>Kommunale utleieboliger (gruppe 1)</v>
      </c>
      <c r="C106" s="91">
        <f>'B 2016-2019'!C56</f>
        <v>39098</v>
      </c>
      <c r="D106" s="88">
        <f>'B 2016-2019'!D56/1000</f>
        <v>21000</v>
      </c>
      <c r="E106" s="88">
        <f>'B 2016-2019'!E56/1000</f>
        <v>0</v>
      </c>
      <c r="F106" s="88">
        <f>'B 2016-2019'!F56/1000</f>
        <v>0</v>
      </c>
      <c r="G106" s="88">
        <f>'B 2016-2019'!G56/1000</f>
        <v>0</v>
      </c>
      <c r="H106" s="88">
        <f>'B 2016-2019'!H56/1000</f>
        <v>21000</v>
      </c>
      <c r="I106" s="88">
        <f>'B 2016-2019'!I56/1000</f>
        <v>0</v>
      </c>
    </row>
    <row r="107" spans="1:9" s="60" customFormat="1" x14ac:dyDescent="0.25">
      <c r="A107" s="45">
        <f t="shared" si="14"/>
        <v>59</v>
      </c>
      <c r="B107" s="45" t="str">
        <f>'B 2016-2019'!B57</f>
        <v>Kommunale utleieboliger (gruppe 2)</v>
      </c>
      <c r="C107" s="91">
        <f>'B 2016-2019'!C57</f>
        <v>39099</v>
      </c>
      <c r="D107" s="88">
        <f>'B 2016-2019'!D57/1000</f>
        <v>22500</v>
      </c>
      <c r="E107" s="88">
        <f>'B 2016-2019'!E57/1000</f>
        <v>0</v>
      </c>
      <c r="F107" s="88">
        <f>'B 2016-2019'!F57/1000</f>
        <v>5000</v>
      </c>
      <c r="G107" s="88">
        <f>'B 2016-2019'!G57/1000</f>
        <v>5000</v>
      </c>
      <c r="H107" s="88">
        <f>'B 2016-2019'!H57/1000</f>
        <v>12500</v>
      </c>
      <c r="I107" s="88">
        <f>'B 2016-2019'!I57/1000</f>
        <v>0</v>
      </c>
    </row>
    <row r="108" spans="1:9" s="40" customFormat="1" x14ac:dyDescent="0.25">
      <c r="A108" s="45">
        <f t="shared" si="14"/>
        <v>60</v>
      </c>
      <c r="B108" s="45" t="str">
        <f>'B 2016-2019'!B59</f>
        <v>Sola hybelhus</v>
      </c>
      <c r="C108" s="91">
        <f>'B 2016-2019'!C59</f>
        <v>39097</v>
      </c>
      <c r="D108" s="88">
        <f>'B 2016-2019'!D59/1000</f>
        <v>10170</v>
      </c>
      <c r="E108" s="88">
        <f>'B 2016-2019'!E59/1000</f>
        <v>0</v>
      </c>
      <c r="F108" s="88">
        <f>'B 2016-2019'!F59/1000</f>
        <v>10170</v>
      </c>
      <c r="G108" s="88">
        <f>'B 2016-2019'!G59/1000</f>
        <v>0</v>
      </c>
      <c r="H108" s="88">
        <f>'B 2016-2019'!H59/1000</f>
        <v>0</v>
      </c>
      <c r="I108" s="88">
        <f>'B 2016-2019'!I59/1000</f>
        <v>0</v>
      </c>
    </row>
    <row r="109" spans="1:9" s="63" customFormat="1" x14ac:dyDescent="0.25">
      <c r="A109" s="239"/>
      <c r="B109" s="242">
        <f>'B 2016-2019'!B60</f>
        <v>0</v>
      </c>
      <c r="C109" s="243">
        <f>'B 2016-2019'!C60</f>
        <v>0</v>
      </c>
      <c r="D109" s="249">
        <f>'B 2016-2019'!D60/1000</f>
        <v>0</v>
      </c>
      <c r="E109" s="249">
        <f>'B 2016-2019'!E60/1000</f>
        <v>0</v>
      </c>
      <c r="F109" s="249">
        <f>'B 2016-2019'!F60/1000</f>
        <v>0</v>
      </c>
      <c r="G109" s="249">
        <f>'B 2016-2019'!G60/1000</f>
        <v>0</v>
      </c>
      <c r="H109" s="249">
        <f>'B 2016-2019'!H60/1000</f>
        <v>0</v>
      </c>
      <c r="I109" s="249">
        <f>'B 2016-2019'!I60/1000</f>
        <v>0</v>
      </c>
    </row>
    <row r="110" spans="1:9" s="63" customFormat="1" x14ac:dyDescent="0.25">
      <c r="A110" s="239"/>
      <c r="B110" s="242">
        <f>'B 2016-2019'!B61</f>
        <v>0</v>
      </c>
      <c r="C110" s="243">
        <f>'B 2016-2019'!C61</f>
        <v>0</v>
      </c>
      <c r="D110" s="249">
        <f>'B 2016-2019'!D61/1000</f>
        <v>0</v>
      </c>
      <c r="E110" s="249">
        <f>'B 2016-2019'!E61/1000</f>
        <v>0</v>
      </c>
      <c r="F110" s="249">
        <f>'B 2016-2019'!F61/1000</f>
        <v>0</v>
      </c>
      <c r="G110" s="249">
        <f>'B 2016-2019'!G61/1000</f>
        <v>0</v>
      </c>
      <c r="H110" s="249">
        <f>'B 2016-2019'!H61/1000</f>
        <v>0</v>
      </c>
      <c r="I110" s="249">
        <f>'B 2016-2019'!I61/1000</f>
        <v>0</v>
      </c>
    </row>
    <row r="111" spans="1:9" s="63" customFormat="1" x14ac:dyDescent="0.25">
      <c r="A111" s="239"/>
      <c r="B111" s="242">
        <f>'B 2016-2019'!B62</f>
        <v>0</v>
      </c>
      <c r="C111" s="243">
        <f>'B 2016-2019'!C62</f>
        <v>0</v>
      </c>
      <c r="D111" s="249">
        <f>'B 2016-2019'!D62/1000</f>
        <v>0</v>
      </c>
      <c r="E111" s="249">
        <f>'B 2016-2019'!E62/1000</f>
        <v>0</v>
      </c>
      <c r="F111" s="249">
        <f>'B 2016-2019'!F62/1000</f>
        <v>0</v>
      </c>
      <c r="G111" s="249">
        <f>'B 2016-2019'!G62/1000</f>
        <v>0</v>
      </c>
      <c r="H111" s="249">
        <f>'B 2016-2019'!H62/1000</f>
        <v>0</v>
      </c>
      <c r="I111" s="249">
        <f>'B 2016-2019'!I62/1000</f>
        <v>0</v>
      </c>
    </row>
    <row r="112" spans="1:9" s="2" customFormat="1" x14ac:dyDescent="0.25">
      <c r="A112" s="96"/>
      <c r="B112" s="96" t="s">
        <v>56</v>
      </c>
      <c r="C112" s="97"/>
      <c r="D112" s="251"/>
      <c r="E112" s="251"/>
      <c r="F112" s="251">
        <f>SUM(F102:F111)</f>
        <v>25312</v>
      </c>
      <c r="G112" s="251">
        <f t="shared" ref="G112:I112" si="15">SUM(G102:G111)</f>
        <v>19850</v>
      </c>
      <c r="H112" s="251">
        <f t="shared" si="15"/>
        <v>43500</v>
      </c>
      <c r="I112" s="251">
        <f t="shared" si="15"/>
        <v>3600</v>
      </c>
    </row>
    <row r="113" spans="1:12" ht="30" x14ac:dyDescent="0.25">
      <c r="A113" s="83" t="s">
        <v>43</v>
      </c>
      <c r="B113" s="83" t="str">
        <f>'B 2016-2019'!A63</f>
        <v>Div. levekår</v>
      </c>
      <c r="C113" s="83" t="s">
        <v>1</v>
      </c>
      <c r="D113" s="84" t="s">
        <v>42</v>
      </c>
      <c r="E113" s="85" t="s">
        <v>212</v>
      </c>
      <c r="F113" s="86">
        <v>2016</v>
      </c>
      <c r="G113" s="86">
        <v>2017</v>
      </c>
      <c r="H113" s="86">
        <v>2018</v>
      </c>
      <c r="I113" s="86">
        <v>2019</v>
      </c>
    </row>
    <row r="114" spans="1:12" x14ac:dyDescent="0.25">
      <c r="A114" s="45">
        <f>A108+1</f>
        <v>61</v>
      </c>
      <c r="B114" s="45" t="str">
        <f>'B 2016-2019'!B63</f>
        <v>Samlebevilgning formål levekår</v>
      </c>
      <c r="C114" s="91"/>
      <c r="D114" s="246"/>
      <c r="E114" s="247"/>
      <c r="F114" s="88">
        <f>'B 2016-2019'!F63/1000</f>
        <v>2350</v>
      </c>
      <c r="G114" s="88">
        <f>'B 2016-2019'!G63/1000</f>
        <v>2350</v>
      </c>
      <c r="H114" s="88">
        <f>'B 2016-2019'!H63/1000</f>
        <v>2150</v>
      </c>
      <c r="I114" s="88">
        <f>'B 2016-2019'!I63/1000</f>
        <v>650</v>
      </c>
    </row>
    <row r="115" spans="1:12" x14ac:dyDescent="0.25">
      <c r="A115" s="45">
        <f>A114+1</f>
        <v>62</v>
      </c>
      <c r="B115" s="45" t="str">
        <f>'B 2016-2019'!B64</f>
        <v>Inventar levekår (årsbev.)</v>
      </c>
      <c r="C115" s="91">
        <f>'B 2016-2019'!C64</f>
        <v>39609</v>
      </c>
      <c r="D115" s="246"/>
      <c r="E115" s="247"/>
      <c r="F115" s="88">
        <f>'B 2016-2019'!F64/1000</f>
        <v>600</v>
      </c>
      <c r="G115" s="88">
        <f>'B 2016-2019'!G64/1000</f>
        <v>600</v>
      </c>
      <c r="H115" s="88">
        <f>'B 2016-2019'!H64/1000</f>
        <v>600</v>
      </c>
      <c r="I115" s="88">
        <f>'B 2016-2019'!I64/1000</f>
        <v>600</v>
      </c>
    </row>
    <row r="116" spans="1:12" s="40" customFormat="1" x14ac:dyDescent="0.25">
      <c r="A116" s="45">
        <f t="shared" ref="A116:A119" si="16">A115+1</f>
        <v>63</v>
      </c>
      <c r="B116" s="45" t="str">
        <f>'B 2016-2019'!B65</f>
        <v>Velferdsteknologi Levekår (årsbev.)</v>
      </c>
      <c r="C116" s="91">
        <f>'B 2016-2019'!C65</f>
        <v>39094</v>
      </c>
      <c r="D116" s="246"/>
      <c r="E116" s="247"/>
      <c r="F116" s="88">
        <f>'B 2016-2019'!F65/1000</f>
        <v>750</v>
      </c>
      <c r="G116" s="88">
        <f>'B 2016-2019'!G65/1000</f>
        <v>900</v>
      </c>
      <c r="H116" s="88">
        <f>'B 2016-2019'!H65/1000</f>
        <v>1000</v>
      </c>
      <c r="I116" s="88">
        <f>'B 2016-2019'!I65/1000</f>
        <v>1000</v>
      </c>
    </row>
    <row r="117" spans="1:12" x14ac:dyDescent="0.25">
      <c r="A117" s="82">
        <f t="shared" si="16"/>
        <v>64</v>
      </c>
      <c r="B117" s="82" t="str">
        <f>'B 2016-2019'!B66</f>
        <v>Ny sjukeheim Sola sentrum</v>
      </c>
      <c r="C117" s="89">
        <f>'B 2016-2019'!C66</f>
        <v>39052</v>
      </c>
      <c r="D117" s="90">
        <f>'B 2016-2019'!D66/1000</f>
        <v>276060</v>
      </c>
      <c r="E117" s="90">
        <f>'B 2016-2019'!E66/1000</f>
        <v>7000</v>
      </c>
      <c r="F117" s="90">
        <f>'B 2016-2019'!F66/1000</f>
        <v>0</v>
      </c>
      <c r="G117" s="90">
        <f>'B 2016-2019'!G66/1000</f>
        <v>121760</v>
      </c>
      <c r="H117" s="90">
        <f>'B 2016-2019'!H66/1000</f>
        <v>138900</v>
      </c>
      <c r="I117" s="90">
        <f>'B 2016-2019'!I66/1000</f>
        <v>8400</v>
      </c>
    </row>
    <row r="118" spans="1:12" x14ac:dyDescent="0.25">
      <c r="A118" s="82">
        <f t="shared" si="16"/>
        <v>65</v>
      </c>
      <c r="B118" s="82" t="str">
        <f>'B 2016-2019'!B67</f>
        <v>Erstatning av utleieboliger K/T/B3</v>
      </c>
      <c r="C118" s="89">
        <f>'B 2016-2019'!C67</f>
        <v>39095</v>
      </c>
      <c r="D118" s="90">
        <f>'B 2016-2019'!D67/1000</f>
        <v>12500</v>
      </c>
      <c r="E118" s="90">
        <f>'B 2016-2019'!E67/1000</f>
        <v>0</v>
      </c>
      <c r="F118" s="90">
        <f>'B 2016-2019'!F67/1000</f>
        <v>0</v>
      </c>
      <c r="G118" s="90">
        <f>'B 2016-2019'!G67/1000</f>
        <v>0</v>
      </c>
      <c r="H118" s="90">
        <f>'B 2016-2019'!H67/1000</f>
        <v>0</v>
      </c>
      <c r="I118" s="90">
        <f>'B 2016-2019'!I67/1000</f>
        <v>12500</v>
      </c>
    </row>
    <row r="119" spans="1:12" s="61" customFormat="1" x14ac:dyDescent="0.25">
      <c r="A119" s="45">
        <f t="shared" si="16"/>
        <v>66</v>
      </c>
      <c r="B119" s="45" t="str">
        <f>'B 2016-2019'!B68</f>
        <v>Erstatning av utleieboliger B05</v>
      </c>
      <c r="C119" s="91">
        <f>'B 2016-2019'!C68</f>
        <v>39100</v>
      </c>
      <c r="D119" s="88">
        <f>'B 2016-2019'!D68/1000</f>
        <v>12500</v>
      </c>
      <c r="E119" s="88">
        <f>'B 2016-2019'!E68/1000</f>
        <v>0</v>
      </c>
      <c r="F119" s="90">
        <f>'B 2016-2019'!F68/1000</f>
        <v>0</v>
      </c>
      <c r="G119" s="90">
        <f>'B 2016-2019'!G68/1000</f>
        <v>12500</v>
      </c>
      <c r="H119" s="90">
        <f>'B 2016-2019'!H68/1000</f>
        <v>0</v>
      </c>
      <c r="I119" s="90">
        <f>'B 2016-2019'!I68/1000</f>
        <v>0</v>
      </c>
      <c r="L119" s="63"/>
    </row>
    <row r="120" spans="1:12" s="63" customFormat="1" x14ac:dyDescent="0.25">
      <c r="A120" s="239"/>
      <c r="B120" s="242">
        <f>'B 2016-2019'!B69</f>
        <v>0</v>
      </c>
      <c r="C120" s="243">
        <f>'B 2016-2019'!C69</f>
        <v>0</v>
      </c>
      <c r="D120" s="249">
        <f>'B 2016-2019'!D69/1000</f>
        <v>0</v>
      </c>
      <c r="E120" s="249">
        <f>'B 2016-2019'!E69/1000</f>
        <v>0</v>
      </c>
      <c r="F120" s="249">
        <f>'B 2016-2019'!F69/1000</f>
        <v>0</v>
      </c>
      <c r="G120" s="249">
        <f>'B 2016-2019'!G69/1000</f>
        <v>0</v>
      </c>
      <c r="H120" s="249">
        <f>'B 2016-2019'!H69/1000</f>
        <v>0</v>
      </c>
      <c r="I120" s="249">
        <f>'B 2016-2019'!I69/1000</f>
        <v>0</v>
      </c>
    </row>
    <row r="121" spans="1:12" s="63" customFormat="1" x14ac:dyDescent="0.25">
      <c r="A121" s="239"/>
      <c r="B121" s="242">
        <f>'B 2016-2019'!B70</f>
        <v>0</v>
      </c>
      <c r="C121" s="243">
        <f>'B 2016-2019'!C70</f>
        <v>0</v>
      </c>
      <c r="D121" s="249">
        <f>'B 2016-2019'!D70/1000</f>
        <v>0</v>
      </c>
      <c r="E121" s="249">
        <f>'B 2016-2019'!E70/1000</f>
        <v>0</v>
      </c>
      <c r="F121" s="249">
        <f>'B 2016-2019'!F70/1000</f>
        <v>0</v>
      </c>
      <c r="G121" s="249">
        <f>'B 2016-2019'!G70/1000</f>
        <v>0</v>
      </c>
      <c r="H121" s="249">
        <f>'B 2016-2019'!H70/1000</f>
        <v>0</v>
      </c>
      <c r="I121" s="249">
        <f>'B 2016-2019'!I70/1000</f>
        <v>0</v>
      </c>
    </row>
    <row r="122" spans="1:12" s="63" customFormat="1" x14ac:dyDescent="0.25">
      <c r="A122" s="239"/>
      <c r="B122" s="242">
        <f>'B 2016-2019'!B71</f>
        <v>0</v>
      </c>
      <c r="C122" s="243">
        <f>'B 2016-2019'!C71</f>
        <v>0</v>
      </c>
      <c r="D122" s="249">
        <f>'B 2016-2019'!D71/1000</f>
        <v>0</v>
      </c>
      <c r="E122" s="249">
        <f>'B 2016-2019'!E71/1000</f>
        <v>0</v>
      </c>
      <c r="F122" s="249">
        <f>'B 2016-2019'!F71/1000</f>
        <v>0</v>
      </c>
      <c r="G122" s="249">
        <f>'B 2016-2019'!G71/1000</f>
        <v>0</v>
      </c>
      <c r="H122" s="249">
        <f>'B 2016-2019'!H71/1000</f>
        <v>0</v>
      </c>
      <c r="I122" s="249">
        <f>'B 2016-2019'!I71/1000</f>
        <v>0</v>
      </c>
    </row>
    <row r="123" spans="1:12" x14ac:dyDescent="0.25">
      <c r="A123" s="45"/>
      <c r="B123" s="96" t="s">
        <v>57</v>
      </c>
      <c r="C123" s="97"/>
      <c r="D123" s="251"/>
      <c r="E123" s="251"/>
      <c r="F123" s="251">
        <f>SUM(F114:F122)</f>
        <v>3700</v>
      </c>
      <c r="G123" s="251">
        <f t="shared" ref="G123:I123" si="17">SUM(G114:G122)</f>
        <v>138110</v>
      </c>
      <c r="H123" s="251">
        <f t="shared" si="17"/>
        <v>142650</v>
      </c>
      <c r="I123" s="251">
        <f t="shared" si="17"/>
        <v>23150</v>
      </c>
    </row>
    <row r="124" spans="1:12" x14ac:dyDescent="0.25">
      <c r="A124" s="98"/>
      <c r="B124" s="93" t="s">
        <v>58</v>
      </c>
      <c r="C124" s="99"/>
      <c r="D124" s="252"/>
      <c r="E124" s="252"/>
      <c r="F124" s="252">
        <f>F112+F123</f>
        <v>29012</v>
      </c>
      <c r="G124" s="252">
        <f>G112+G123</f>
        <v>157960</v>
      </c>
      <c r="H124" s="252">
        <f>H112+H123</f>
        <v>186150</v>
      </c>
      <c r="I124" s="252">
        <f>I112+I123</f>
        <v>26750</v>
      </c>
    </row>
    <row r="125" spans="1:12" ht="30" customHeight="1" x14ac:dyDescent="0.25">
      <c r="A125" s="316" t="s">
        <v>59</v>
      </c>
      <c r="B125" s="316"/>
      <c r="C125" s="316"/>
      <c r="D125" s="316"/>
      <c r="E125" s="316"/>
      <c r="F125" s="316"/>
      <c r="G125" s="316"/>
      <c r="H125" s="316"/>
      <c r="I125" s="316"/>
    </row>
    <row r="126" spans="1:12" ht="30" x14ac:dyDescent="0.25">
      <c r="A126" s="83" t="s">
        <v>43</v>
      </c>
      <c r="B126" s="83" t="str">
        <f>'B 2016-2019'!A72</f>
        <v>Skole og SFO</v>
      </c>
      <c r="C126" s="83" t="s">
        <v>1</v>
      </c>
      <c r="D126" s="84" t="s">
        <v>42</v>
      </c>
      <c r="E126" s="85" t="s">
        <v>212</v>
      </c>
      <c r="F126" s="86">
        <v>2016</v>
      </c>
      <c r="G126" s="86">
        <v>2017</v>
      </c>
      <c r="H126" s="86">
        <v>2018</v>
      </c>
      <c r="I126" s="86">
        <v>2019</v>
      </c>
    </row>
    <row r="127" spans="1:12" x14ac:dyDescent="0.25">
      <c r="A127" s="45">
        <f>A119+1</f>
        <v>67</v>
      </c>
      <c r="B127" s="45" t="str">
        <f>'B 2016-2019'!B72</f>
        <v>Samlebevilgning formål skole og SFO</v>
      </c>
      <c r="C127" s="91"/>
      <c r="D127" s="246"/>
      <c r="E127" s="247"/>
      <c r="F127" s="88">
        <f>'B 2016-2019'!F72/1000</f>
        <v>7550</v>
      </c>
      <c r="G127" s="88">
        <f>'B 2016-2019'!G72/1000</f>
        <v>4550</v>
      </c>
      <c r="H127" s="88">
        <f>'B 2016-2019'!H72/1000</f>
        <v>4550</v>
      </c>
      <c r="I127" s="88">
        <f>'B 2016-2019'!I72/1000</f>
        <v>4550</v>
      </c>
    </row>
    <row r="128" spans="1:12" x14ac:dyDescent="0.25">
      <c r="A128" s="45">
        <f>A127+1</f>
        <v>68</v>
      </c>
      <c r="B128" s="45" t="str">
        <f>'B 2016-2019'!B73</f>
        <v>Ressurssenteret Grannes skole, utvidelse (del 1)</v>
      </c>
      <c r="C128" s="91">
        <f>'B 2016-2019'!C73</f>
        <v>29044</v>
      </c>
      <c r="D128" s="88">
        <f>'B 2016-2019'!D73/1000</f>
        <v>102891</v>
      </c>
      <c r="E128" s="88">
        <f>'B 2016-2019'!E73/1000</f>
        <v>97777</v>
      </c>
      <c r="F128" s="88">
        <f>'B 2016-2019'!F73/1000</f>
        <v>5114</v>
      </c>
      <c r="G128" s="88">
        <f>'B 2016-2019'!G73/1000</f>
        <v>0</v>
      </c>
      <c r="H128" s="88">
        <f>'B 2016-2019'!H73/1000</f>
        <v>0</v>
      </c>
      <c r="I128" s="88">
        <f>'B 2016-2019'!I73/1000</f>
        <v>0</v>
      </c>
    </row>
    <row r="129" spans="1:9" x14ac:dyDescent="0.25">
      <c r="A129" s="45">
        <f t="shared" ref="A129:A137" si="18">A128+1</f>
        <v>69</v>
      </c>
      <c r="B129" s="45" t="str">
        <f>'B 2016-2019'!B74</f>
        <v>Ressurssenteret Grannes skole, utvidelse (del 2)</v>
      </c>
      <c r="C129" s="91">
        <f>'B 2016-2019'!C74</f>
        <v>29076</v>
      </c>
      <c r="D129" s="88">
        <f>'B 2016-2019'!D74/1000</f>
        <v>9511</v>
      </c>
      <c r="E129" s="88">
        <f>'B 2016-2019'!E74/1000</f>
        <v>0</v>
      </c>
      <c r="F129" s="253">
        <f>'B 2016-2019'!F74/1000</f>
        <v>0</v>
      </c>
      <c r="G129" s="253">
        <f>'B 2016-2019'!G74/1000</f>
        <v>0</v>
      </c>
      <c r="H129" s="253">
        <f>'B 2016-2019'!H74/1000</f>
        <v>0</v>
      </c>
      <c r="I129" s="253">
        <f>'B 2016-2019'!I74/1000</f>
        <v>1000</v>
      </c>
    </row>
    <row r="130" spans="1:9" x14ac:dyDescent="0.25">
      <c r="A130" s="45">
        <f t="shared" si="18"/>
        <v>70</v>
      </c>
      <c r="B130" s="81" t="str">
        <f>'B 2016-2019'!B75</f>
        <v>Skolebruksplan, Sande skole (4 klasserom)</v>
      </c>
      <c r="C130" s="100">
        <f>'B 2016-2019'!C75</f>
        <v>29070</v>
      </c>
      <c r="D130" s="88">
        <f>'B 2016-2019'!D75/1000</f>
        <v>18500</v>
      </c>
      <c r="E130" s="88">
        <f>'B 2016-2019'!E75/1000</f>
        <v>0</v>
      </c>
      <c r="F130" s="88">
        <f>'B 2016-2019'!F75/1000</f>
        <v>0</v>
      </c>
      <c r="G130" s="249">
        <f>'B 2016-2019'!G75/1000</f>
        <v>1500</v>
      </c>
      <c r="H130" s="249">
        <f>'B 2016-2019'!H75/1000</f>
        <v>17000</v>
      </c>
      <c r="I130" s="249">
        <f>'B 2016-2019'!I75/1000</f>
        <v>0</v>
      </c>
    </row>
    <row r="131" spans="1:9" s="63" customFormat="1" x14ac:dyDescent="0.25">
      <c r="A131" s="45">
        <f t="shared" si="18"/>
        <v>71</v>
      </c>
      <c r="B131" s="81" t="str">
        <f>'B 2016-2019'!B76</f>
        <v>Skolebruksplan, Håland skole (3 klasserom)</v>
      </c>
      <c r="C131" s="100">
        <f>'B 2016-2019'!C76</f>
        <v>29078</v>
      </c>
      <c r="D131" s="88">
        <f>'B 2016-2019'!D76/1000</f>
        <v>14000</v>
      </c>
      <c r="E131" s="88">
        <f>'B 2016-2019'!E76/1000</f>
        <v>0</v>
      </c>
      <c r="F131" s="88">
        <f>'B 2016-2019'!F76/1000</f>
        <v>0</v>
      </c>
      <c r="G131" s="88">
        <f>'B 2016-2019'!G76/1000</f>
        <v>4000</v>
      </c>
      <c r="H131" s="88">
        <f>'B 2016-2019'!H76/1000</f>
        <v>10000</v>
      </c>
      <c r="I131" s="88">
        <f>'B 2016-2019'!I76/1000</f>
        <v>0</v>
      </c>
    </row>
    <row r="132" spans="1:9" s="63" customFormat="1" x14ac:dyDescent="0.25">
      <c r="A132" s="45">
        <f t="shared" si="18"/>
        <v>72</v>
      </c>
      <c r="B132" s="81" t="str">
        <f>'B 2016-2019'!B77</f>
        <v>Skolebruksplan, Storevarden skole</v>
      </c>
      <c r="C132" s="100">
        <f>'B 2016-2019'!C77</f>
        <v>29079</v>
      </c>
      <c r="D132" s="88">
        <f>'B 2016-2019'!D77/1000</f>
        <v>8400</v>
      </c>
      <c r="E132" s="88">
        <f>'B 2016-2019'!E77/1000</f>
        <v>0</v>
      </c>
      <c r="F132" s="88">
        <f>'B 2016-2019'!F77/1000</f>
        <v>0</v>
      </c>
      <c r="G132" s="88">
        <f>'B 2016-2019'!G77/1000</f>
        <v>0</v>
      </c>
      <c r="H132" s="88">
        <f>'B 2016-2019'!H77/1000</f>
        <v>400</v>
      </c>
      <c r="I132" s="88">
        <f>'B 2016-2019'!I77/1000</f>
        <v>8000</v>
      </c>
    </row>
    <row r="133" spans="1:9" x14ac:dyDescent="0.25">
      <c r="A133" s="45">
        <f t="shared" si="18"/>
        <v>73</v>
      </c>
      <c r="B133" s="45" t="str">
        <f>'B 2016-2019'!B78</f>
        <v>Skolebruksplan, Sola skole</v>
      </c>
      <c r="C133" s="91">
        <f>'B 2016-2019'!C78</f>
        <v>29073</v>
      </c>
      <c r="D133" s="88">
        <f>'B 2016-2019'!D78/1000</f>
        <v>70000</v>
      </c>
      <c r="E133" s="88">
        <f>'B 2016-2019'!E78/1000</f>
        <v>28200</v>
      </c>
      <c r="F133" s="88">
        <f>'B 2016-2019'!F78/1000</f>
        <v>41800</v>
      </c>
      <c r="G133" s="88">
        <f>'B 2016-2019'!G78/1000</f>
        <v>0</v>
      </c>
      <c r="H133" s="88">
        <f>'B 2016-2019'!H78/1000</f>
        <v>0</v>
      </c>
      <c r="I133" s="88">
        <f>'B 2016-2019'!I78/1000</f>
        <v>0</v>
      </c>
    </row>
    <row r="134" spans="1:9" x14ac:dyDescent="0.25">
      <c r="A134" s="45">
        <f t="shared" si="18"/>
        <v>74</v>
      </c>
      <c r="B134" s="45" t="str">
        <f>'B 2016-2019'!B79</f>
        <v>Datamaskiner/fornying skoler (årsbev.)</v>
      </c>
      <c r="C134" s="91">
        <f>'B 2016-2019'!C79</f>
        <v>29602</v>
      </c>
      <c r="D134" s="246"/>
      <c r="E134" s="247"/>
      <c r="F134" s="88">
        <f>'B 2016-2019'!F79/1000</f>
        <v>1852</v>
      </c>
      <c r="G134" s="88">
        <f>'B 2016-2019'!G79/1000</f>
        <v>3216</v>
      </c>
      <c r="H134" s="88">
        <f>'B 2016-2019'!H79/1000</f>
        <v>2394</v>
      </c>
      <c r="I134" s="88">
        <f>'B 2016-2019'!I79/1000</f>
        <v>2202</v>
      </c>
    </row>
    <row r="135" spans="1:9" x14ac:dyDescent="0.25">
      <c r="A135" s="45">
        <f t="shared" si="18"/>
        <v>75</v>
      </c>
      <c r="B135" s="45" t="str">
        <f>'B 2016-2019'!B80</f>
        <v>Skolebruksplan, ny skole Jåsund</v>
      </c>
      <c r="C135" s="91">
        <f>'B 2016-2019'!C80</f>
        <v>29001</v>
      </c>
      <c r="D135" s="88">
        <f>'B 2016-2019'!D80/1000</f>
        <v>202000</v>
      </c>
      <c r="E135" s="88">
        <f>'B 2016-2019'!E80/1000</f>
        <v>0</v>
      </c>
      <c r="F135" s="88">
        <f>'B 2016-2019'!F80/1000</f>
        <v>0</v>
      </c>
      <c r="G135" s="88">
        <f>'B 2016-2019'!G80/1000</f>
        <v>0</v>
      </c>
      <c r="H135" s="88">
        <f>'B 2016-2019'!H80/1000</f>
        <v>2000</v>
      </c>
      <c r="I135" s="88">
        <f>'B 2016-2019'!I80/1000</f>
        <v>70000</v>
      </c>
    </row>
    <row r="136" spans="1:9" x14ac:dyDescent="0.25">
      <c r="A136" s="45">
        <f t="shared" si="18"/>
        <v>76</v>
      </c>
      <c r="B136" s="45" t="str">
        <f>'B 2016-2019'!B81</f>
        <v>Skolebruksplan, Dysjaland skole, utbygging</v>
      </c>
      <c r="C136" s="91">
        <f>'B 2016-2019'!C81</f>
        <v>29060</v>
      </c>
      <c r="D136" s="88">
        <f>'B 2016-2019'!D81/1000</f>
        <v>30000</v>
      </c>
      <c r="E136" s="88">
        <f>'B 2016-2019'!E81/1000</f>
        <v>880</v>
      </c>
      <c r="F136" s="88">
        <f>'B 2016-2019'!F81/1000</f>
        <v>14620</v>
      </c>
      <c r="G136" s="88">
        <f>'B 2016-2019'!G81/1000</f>
        <v>14500</v>
      </c>
      <c r="H136" s="88">
        <f>'B 2016-2019'!H81/1000</f>
        <v>0</v>
      </c>
      <c r="I136" s="88">
        <f>'B 2016-2019'!I81/1000</f>
        <v>0</v>
      </c>
    </row>
    <row r="137" spans="1:9" x14ac:dyDescent="0.25">
      <c r="A137" s="45">
        <f t="shared" si="18"/>
        <v>77</v>
      </c>
      <c r="B137" s="45" t="str">
        <f>'B 2016-2019'!B82</f>
        <v>Inventar skole (planlagt utskiftning) (årsbev.)</v>
      </c>
      <c r="C137" s="91">
        <f>'B 2016-2019'!C82</f>
        <v>29620</v>
      </c>
      <c r="D137" s="246"/>
      <c r="E137" s="247"/>
      <c r="F137" s="88">
        <f>'B 2016-2019'!F82/1000</f>
        <v>250</v>
      </c>
      <c r="G137" s="88">
        <f>'B 2016-2019'!G82/1000</f>
        <v>250</v>
      </c>
      <c r="H137" s="88">
        <f>'B 2016-2019'!H82/1000</f>
        <v>250</v>
      </c>
      <c r="I137" s="88">
        <f>'B 2016-2019'!I82/1000</f>
        <v>250</v>
      </c>
    </row>
    <row r="138" spans="1:9" s="63" customFormat="1" x14ac:dyDescent="0.25">
      <c r="A138" s="239"/>
      <c r="B138" s="242">
        <f>'B 2016-2019'!B83</f>
        <v>0</v>
      </c>
      <c r="C138" s="243">
        <f>'B 2016-2019'!C83</f>
        <v>0</v>
      </c>
      <c r="D138" s="249">
        <f>'B 2016-2019'!D83/1000</f>
        <v>0</v>
      </c>
      <c r="E138" s="249">
        <f>'B 2016-2019'!E83/1000</f>
        <v>0</v>
      </c>
      <c r="F138" s="249">
        <f>'B 2016-2019'!F83/1000</f>
        <v>0</v>
      </c>
      <c r="G138" s="249">
        <f>'B 2016-2019'!G83/1000</f>
        <v>0</v>
      </c>
      <c r="H138" s="249">
        <f>'B 2016-2019'!H83/1000</f>
        <v>0</v>
      </c>
      <c r="I138" s="249">
        <f>'B 2016-2019'!I83/1000</f>
        <v>0</v>
      </c>
    </row>
    <row r="139" spans="1:9" s="63" customFormat="1" x14ac:dyDescent="0.25">
      <c r="A139" s="239"/>
      <c r="B139" s="242">
        <f>'B 2016-2019'!B84</f>
        <v>0</v>
      </c>
      <c r="C139" s="243">
        <f>'B 2016-2019'!C84</f>
        <v>0</v>
      </c>
      <c r="D139" s="249">
        <f>'B 2016-2019'!D84/1000</f>
        <v>0</v>
      </c>
      <c r="E139" s="249">
        <f>'B 2016-2019'!E84/1000</f>
        <v>0</v>
      </c>
      <c r="F139" s="249">
        <f>'B 2016-2019'!F84/1000</f>
        <v>0</v>
      </c>
      <c r="G139" s="249">
        <f>'B 2016-2019'!G84/1000</f>
        <v>0</v>
      </c>
      <c r="H139" s="249">
        <f>'B 2016-2019'!H84/1000</f>
        <v>0</v>
      </c>
      <c r="I139" s="249">
        <f>'B 2016-2019'!I84/1000</f>
        <v>0</v>
      </c>
    </row>
    <row r="140" spans="1:9" s="63" customFormat="1" x14ac:dyDescent="0.25">
      <c r="A140" s="239"/>
      <c r="B140" s="242">
        <f>'B 2016-2019'!B85</f>
        <v>0</v>
      </c>
      <c r="C140" s="243">
        <f>'B 2016-2019'!C85</f>
        <v>0</v>
      </c>
      <c r="D140" s="249">
        <f>'B 2016-2019'!D85/1000</f>
        <v>0</v>
      </c>
      <c r="E140" s="249">
        <f>'B 2016-2019'!E85/1000</f>
        <v>0</v>
      </c>
      <c r="F140" s="249">
        <f>'B 2016-2019'!F85/1000</f>
        <v>0</v>
      </c>
      <c r="G140" s="249">
        <f>'B 2016-2019'!G85/1000</f>
        <v>0</v>
      </c>
      <c r="H140" s="249">
        <f>'B 2016-2019'!H85/1000</f>
        <v>0</v>
      </c>
      <c r="I140" s="249">
        <f>'B 2016-2019'!I85/1000</f>
        <v>0</v>
      </c>
    </row>
    <row r="141" spans="1:9" s="2" customFormat="1" x14ac:dyDescent="0.25">
      <c r="A141" s="96"/>
      <c r="B141" s="96" t="s">
        <v>60</v>
      </c>
      <c r="C141" s="97"/>
      <c r="D141" s="251"/>
      <c r="E141" s="251"/>
      <c r="F141" s="251">
        <f>SUM(F127:F140)</f>
        <v>71186</v>
      </c>
      <c r="G141" s="251">
        <f t="shared" ref="G141:I141" si="19">SUM(G127:G140)</f>
        <v>28016</v>
      </c>
      <c r="H141" s="251">
        <f t="shared" si="19"/>
        <v>36594</v>
      </c>
      <c r="I141" s="251">
        <f t="shared" si="19"/>
        <v>86002</v>
      </c>
    </row>
    <row r="142" spans="1:9" ht="30" x14ac:dyDescent="0.25">
      <c r="A142" s="83" t="s">
        <v>43</v>
      </c>
      <c r="B142" s="83" t="str">
        <f>'B 2016-2019'!A86</f>
        <v>Barnehage</v>
      </c>
      <c r="C142" s="83" t="s">
        <v>1</v>
      </c>
      <c r="D142" s="84" t="s">
        <v>42</v>
      </c>
      <c r="E142" s="85" t="s">
        <v>212</v>
      </c>
      <c r="F142" s="86">
        <v>2016</v>
      </c>
      <c r="G142" s="86">
        <v>2017</v>
      </c>
      <c r="H142" s="86">
        <v>2018</v>
      </c>
      <c r="I142" s="86">
        <v>2019</v>
      </c>
    </row>
    <row r="143" spans="1:9" x14ac:dyDescent="0.25">
      <c r="A143" s="45">
        <f>A137+1</f>
        <v>78</v>
      </c>
      <c r="B143" s="45" t="str">
        <f>'B 2016-2019'!B86</f>
        <v>Samlebevilgning formål barnehage</v>
      </c>
      <c r="C143" s="91"/>
      <c r="D143" s="246"/>
      <c r="E143" s="247"/>
      <c r="F143" s="88">
        <f>'B 2016-2019'!F86/1000</f>
        <v>4500</v>
      </c>
      <c r="G143" s="88">
        <f>'B 2016-2019'!G86/1000</f>
        <v>4500</v>
      </c>
      <c r="H143" s="88">
        <f>'B 2016-2019'!H86/1000</f>
        <v>4500</v>
      </c>
      <c r="I143" s="88">
        <f>'B 2016-2019'!I86/1000</f>
        <v>4500</v>
      </c>
    </row>
    <row r="144" spans="1:9" x14ac:dyDescent="0.25">
      <c r="A144" s="45">
        <f>A143+1</f>
        <v>79</v>
      </c>
      <c r="B144" s="45" t="str">
        <f>'B 2016-2019'!B87</f>
        <v>Erstatningslokaler kommunale bhg.</v>
      </c>
      <c r="C144" s="91">
        <f>'B 2016-2019'!C87</f>
        <v>29077</v>
      </c>
      <c r="D144" s="249">
        <f>'B 2016-2019'!D87/1000</f>
        <v>0</v>
      </c>
      <c r="E144" s="248">
        <f>'B 2016-2019'!E87/1000</f>
        <v>0</v>
      </c>
      <c r="F144" s="88">
        <f>'B 2016-2019'!F87/1000</f>
        <v>0</v>
      </c>
      <c r="G144" s="88">
        <f>'B 2016-2019'!G87/1000</f>
        <v>0</v>
      </c>
      <c r="H144" s="88">
        <f>'B 2016-2019'!H87/1000</f>
        <v>0</v>
      </c>
      <c r="I144" s="249">
        <f>'B 2016-2019'!I87/1000</f>
        <v>0</v>
      </c>
    </row>
    <row r="145" spans="1:16" s="63" customFormat="1" x14ac:dyDescent="0.25">
      <c r="A145" s="239"/>
      <c r="B145" s="242">
        <f>'B 2016-2019'!B88</f>
        <v>0</v>
      </c>
      <c r="C145" s="243">
        <f>'B 2016-2019'!C88</f>
        <v>0</v>
      </c>
      <c r="D145" s="249">
        <f>'B 2016-2019'!D88/1000</f>
        <v>0</v>
      </c>
      <c r="E145" s="250">
        <f>'B 2016-2019'!E88/1000</f>
        <v>0</v>
      </c>
      <c r="F145" s="249">
        <f>'B 2016-2019'!F88/1000</f>
        <v>0</v>
      </c>
      <c r="G145" s="249">
        <f>'B 2016-2019'!G88/1000</f>
        <v>0</v>
      </c>
      <c r="H145" s="249">
        <f>'B 2016-2019'!H88/1000</f>
        <v>0</v>
      </c>
      <c r="I145" s="249">
        <f>'B 2016-2019'!I88/1000</f>
        <v>0</v>
      </c>
    </row>
    <row r="146" spans="1:16" s="63" customFormat="1" x14ac:dyDescent="0.25">
      <c r="A146" s="239"/>
      <c r="B146" s="242">
        <f>'B 2016-2019'!B89</f>
        <v>0</v>
      </c>
      <c r="C146" s="243">
        <f>'B 2016-2019'!C89</f>
        <v>0</v>
      </c>
      <c r="D146" s="249">
        <f>'B 2016-2019'!D89/1000</f>
        <v>0</v>
      </c>
      <c r="E146" s="250">
        <f>'B 2016-2019'!E89/1000</f>
        <v>0</v>
      </c>
      <c r="F146" s="249">
        <f>'B 2016-2019'!F89/1000</f>
        <v>0</v>
      </c>
      <c r="G146" s="249">
        <f>'B 2016-2019'!G89/1000</f>
        <v>0</v>
      </c>
      <c r="H146" s="249">
        <f>'B 2016-2019'!H89/1000</f>
        <v>0</v>
      </c>
      <c r="I146" s="249">
        <f>'B 2016-2019'!I89/1000</f>
        <v>0</v>
      </c>
    </row>
    <row r="147" spans="1:16" s="63" customFormat="1" x14ac:dyDescent="0.25">
      <c r="A147" s="239"/>
      <c r="B147" s="242">
        <f>'B 2016-2019'!B90</f>
        <v>0</v>
      </c>
      <c r="C147" s="243">
        <f>'B 2016-2019'!C90</f>
        <v>0</v>
      </c>
      <c r="D147" s="249">
        <f>'B 2016-2019'!D90/1000</f>
        <v>0</v>
      </c>
      <c r="E147" s="250">
        <f>'B 2016-2019'!E90/1000</f>
        <v>0</v>
      </c>
      <c r="F147" s="249">
        <f>'B 2016-2019'!F90/1000</f>
        <v>0</v>
      </c>
      <c r="G147" s="249">
        <f>'B 2016-2019'!G90/1000</f>
        <v>0</v>
      </c>
      <c r="H147" s="249">
        <f>'B 2016-2019'!H90/1000</f>
        <v>0</v>
      </c>
      <c r="I147" s="249">
        <f>'B 2016-2019'!I90/1000</f>
        <v>0</v>
      </c>
    </row>
    <row r="148" spans="1:16" s="2" customFormat="1" x14ac:dyDescent="0.25">
      <c r="A148" s="96"/>
      <c r="B148" s="96" t="s">
        <v>61</v>
      </c>
      <c r="C148" s="97"/>
      <c r="D148" s="251"/>
      <c r="E148" s="251"/>
      <c r="F148" s="251">
        <f>SUM(F143:F147)</f>
        <v>4500</v>
      </c>
      <c r="G148" s="251">
        <f t="shared" ref="G148:I148" si="20">SUM(G143:G147)</f>
        <v>4500</v>
      </c>
      <c r="H148" s="251">
        <f t="shared" si="20"/>
        <v>4500</v>
      </c>
      <c r="I148" s="251">
        <f t="shared" si="20"/>
        <v>4500</v>
      </c>
    </row>
    <row r="149" spans="1:16" x14ac:dyDescent="0.25">
      <c r="A149" s="93"/>
      <c r="B149" s="93" t="s">
        <v>63</v>
      </c>
      <c r="C149" s="93"/>
      <c r="D149" s="252"/>
      <c r="E149" s="252"/>
      <c r="F149" s="252">
        <f>F141+F148</f>
        <v>75686</v>
      </c>
      <c r="G149" s="252">
        <f t="shared" ref="G149:I149" si="21">G141+G148</f>
        <v>32516</v>
      </c>
      <c r="H149" s="252">
        <f t="shared" si="21"/>
        <v>41094</v>
      </c>
      <c r="I149" s="252">
        <f t="shared" si="21"/>
        <v>90502</v>
      </c>
    </row>
    <row r="150" spans="1:16" x14ac:dyDescent="0.25">
      <c r="D150" s="5"/>
      <c r="E150" s="5"/>
      <c r="F150" s="5"/>
      <c r="G150" s="5"/>
      <c r="H150" s="5"/>
      <c r="I150" s="42"/>
    </row>
    <row r="151" spans="1:16" ht="30" customHeight="1" x14ac:dyDescent="0.25">
      <c r="A151" s="316" t="s">
        <v>65</v>
      </c>
      <c r="B151" s="316"/>
      <c r="C151" s="316"/>
      <c r="D151" s="316"/>
      <c r="E151" s="316"/>
      <c r="F151" s="316"/>
      <c r="G151" s="316"/>
      <c r="H151" s="316"/>
      <c r="I151" s="316"/>
    </row>
    <row r="152" spans="1:16" x14ac:dyDescent="0.25">
      <c r="A152" s="83" t="s">
        <v>43</v>
      </c>
      <c r="B152" s="317"/>
      <c r="C152" s="318"/>
      <c r="D152" s="318"/>
      <c r="E152" s="319"/>
      <c r="F152" s="86">
        <v>2016</v>
      </c>
      <c r="G152" s="86">
        <v>2017</v>
      </c>
      <c r="H152" s="86">
        <v>2018</v>
      </c>
      <c r="I152" s="86">
        <v>2019</v>
      </c>
      <c r="L152" s="41"/>
    </row>
    <row r="153" spans="1:16" x14ac:dyDescent="0.25">
      <c r="A153" s="45">
        <f>A144+1</f>
        <v>80</v>
      </c>
      <c r="B153" s="314" t="s">
        <v>66</v>
      </c>
      <c r="C153" s="314"/>
      <c r="D153" s="314"/>
      <c r="E153" s="314"/>
      <c r="F153" s="88">
        <f>F13+F28+F35+F47+F58+F90+F99+F124+F149</f>
        <v>234347</v>
      </c>
      <c r="G153" s="88">
        <f>G13+G28+G35+G47+G58+G90+G99+G124+G149</f>
        <v>345865</v>
      </c>
      <c r="H153" s="88">
        <f>H13+H28+H35+H47+H58+H90+H99+H124+H149</f>
        <v>330012</v>
      </c>
      <c r="I153" s="88">
        <f>I13+I28+I35+I47+I58+I90+I99+I124+I149</f>
        <v>198025</v>
      </c>
      <c r="L153" s="39"/>
      <c r="M153" s="39"/>
      <c r="N153" s="39"/>
      <c r="O153" s="39"/>
      <c r="P153" s="23"/>
    </row>
    <row r="154" spans="1:16" x14ac:dyDescent="0.25">
      <c r="A154" s="45">
        <f>A153+1</f>
        <v>81</v>
      </c>
      <c r="B154" s="314" t="s">
        <v>67</v>
      </c>
      <c r="C154" s="314"/>
      <c r="D154" s="314"/>
      <c r="E154" s="314"/>
      <c r="F154" s="88">
        <f>F79</f>
        <v>61750</v>
      </c>
      <c r="G154" s="88">
        <f>G79</f>
        <v>15650</v>
      </c>
      <c r="H154" s="88">
        <f>H79</f>
        <v>22800</v>
      </c>
      <c r="I154" s="88">
        <f>I79</f>
        <v>31200</v>
      </c>
      <c r="L154" s="39"/>
      <c r="M154" s="39"/>
      <c r="N154" s="39"/>
      <c r="O154" s="39"/>
      <c r="P154" s="23"/>
    </row>
    <row r="155" spans="1:16" x14ac:dyDescent="0.25">
      <c r="A155" s="98"/>
      <c r="B155" s="315" t="s">
        <v>68</v>
      </c>
      <c r="C155" s="315"/>
      <c r="D155" s="315"/>
      <c r="E155" s="315"/>
      <c r="F155" s="252">
        <f>SUM(F153:F154)</f>
        <v>296097</v>
      </c>
      <c r="G155" s="252">
        <f t="shared" ref="G155:I155" si="22">SUM(G153:G154)</f>
        <v>361515</v>
      </c>
      <c r="H155" s="252">
        <f t="shared" si="22"/>
        <v>352812</v>
      </c>
      <c r="I155" s="252">
        <f t="shared" si="22"/>
        <v>229225</v>
      </c>
      <c r="K155" s="23">
        <f>SUM(F155:J155)</f>
        <v>1239649</v>
      </c>
      <c r="L155" s="23"/>
      <c r="M155" s="23"/>
      <c r="N155" s="23"/>
      <c r="O155" s="23"/>
      <c r="P155" s="23"/>
    </row>
    <row r="157" spans="1:16" ht="30" customHeight="1" x14ac:dyDescent="0.25">
      <c r="A157" s="316" t="s">
        <v>69</v>
      </c>
      <c r="B157" s="316"/>
      <c r="C157" s="316"/>
      <c r="D157" s="316"/>
      <c r="E157" s="316"/>
      <c r="F157" s="316"/>
      <c r="G157" s="316"/>
      <c r="H157" s="316"/>
      <c r="I157" s="316"/>
    </row>
    <row r="158" spans="1:16" x14ac:dyDescent="0.25">
      <c r="A158" s="83" t="s">
        <v>43</v>
      </c>
      <c r="B158" s="304" t="s">
        <v>70</v>
      </c>
      <c r="C158" s="305"/>
      <c r="D158" s="305"/>
      <c r="E158" s="306"/>
      <c r="F158" s="86">
        <v>2016</v>
      </c>
      <c r="G158" s="86">
        <v>2017</v>
      </c>
      <c r="H158" s="86">
        <v>2018</v>
      </c>
      <c r="I158" s="86">
        <v>2019</v>
      </c>
    </row>
    <row r="159" spans="1:16" x14ac:dyDescent="0.25">
      <c r="A159" s="82">
        <f>A154+1</f>
        <v>82</v>
      </c>
      <c r="B159" s="310" t="str">
        <f>'Inntekter 2016-2019'!B33</f>
        <v>Husbanktilskudd boliger (maks 30 %)</v>
      </c>
      <c r="C159" s="311"/>
      <c r="D159" s="311"/>
      <c r="E159" s="312"/>
      <c r="F159" s="90">
        <f>'Inntekter 2016-2019'!E33/1000</f>
        <v>-18642</v>
      </c>
      <c r="G159" s="90">
        <f>'Inntekter 2016-2019'!F33/1000</f>
        <v>-6330</v>
      </c>
      <c r="H159" s="90">
        <f>'Inntekter 2016-2019'!G33/1000</f>
        <v>-3750</v>
      </c>
      <c r="I159" s="90">
        <f>'Inntekter 2016-2019'!H33/1000</f>
        <v>-4830</v>
      </c>
    </row>
    <row r="160" spans="1:16" x14ac:dyDescent="0.25">
      <c r="A160" s="82">
        <f>A159+1</f>
        <v>83</v>
      </c>
      <c r="B160" s="310" t="str">
        <f>'Inntekter 2016-2019'!B34</f>
        <v>Husbanken investeringstilskudd</v>
      </c>
      <c r="C160" s="311"/>
      <c r="D160" s="311"/>
      <c r="E160" s="312"/>
      <c r="F160" s="90">
        <f>'Inntekter 2016-2019'!E34/1000</f>
        <v>-4359</v>
      </c>
      <c r="G160" s="90">
        <f>'Inntekter 2016-2019'!F34/1000</f>
        <v>0</v>
      </c>
      <c r="H160" s="90">
        <f>'Inntekter 2016-2019'!G34/1000</f>
        <v>-15750</v>
      </c>
      <c r="I160" s="90">
        <f>'Inntekter 2016-2019'!H34/1000</f>
        <v>-123200</v>
      </c>
    </row>
    <row r="161" spans="1:10" x14ac:dyDescent="0.25">
      <c r="A161" s="82">
        <f t="shared" ref="A161:A169" si="23">A160+1</f>
        <v>84</v>
      </c>
      <c r="B161" s="310" t="str">
        <f>'Inntekter 2016-2019'!B35</f>
        <v>Salg øvrige eiendommer</v>
      </c>
      <c r="C161" s="311"/>
      <c r="D161" s="311"/>
      <c r="E161" s="312"/>
      <c r="F161" s="90">
        <f>'Inntekter 2016-2019'!E35/1000</f>
        <v>-6000</v>
      </c>
      <c r="G161" s="90">
        <f>'Inntekter 2016-2019'!F35/1000</f>
        <v>-167000</v>
      </c>
      <c r="H161" s="90">
        <f>'Inntekter 2016-2019'!G35/1000</f>
        <v>0</v>
      </c>
      <c r="I161" s="90">
        <f>'Inntekter 2016-2019'!H35/1000</f>
        <v>-75000</v>
      </c>
    </row>
    <row r="162" spans="1:10" x14ac:dyDescent="0.25">
      <c r="A162" s="82">
        <f t="shared" si="23"/>
        <v>85</v>
      </c>
      <c r="B162" s="310" t="str">
        <f>'Inntekter 2016-2019'!B36</f>
        <v>Spillemidler</v>
      </c>
      <c r="C162" s="311"/>
      <c r="D162" s="311"/>
      <c r="E162" s="312"/>
      <c r="F162" s="249">
        <f>'Inntekter 2016-2019'!E36/1000</f>
        <v>-3500</v>
      </c>
      <c r="G162" s="249">
        <f>'Inntekter 2016-2019'!F36/1000</f>
        <v>-3500</v>
      </c>
      <c r="H162" s="90">
        <f>'Inntekter 2016-2019'!G36/1000</f>
        <v>-3500</v>
      </c>
      <c r="I162" s="90">
        <f>'Inntekter 2016-2019'!H36/1000</f>
        <v>-3500</v>
      </c>
    </row>
    <row r="163" spans="1:10" x14ac:dyDescent="0.25">
      <c r="A163" s="82">
        <f t="shared" si="23"/>
        <v>86</v>
      </c>
      <c r="B163" s="310" t="str">
        <f>'Inntekter 2016-2019'!B37</f>
        <v>Diverse inntekter</v>
      </c>
      <c r="C163" s="311"/>
      <c r="D163" s="311"/>
      <c r="E163" s="312"/>
      <c r="F163" s="90">
        <f>'Inntekter 2016-2019'!E37/1000</f>
        <v>-6883</v>
      </c>
      <c r="G163" s="90">
        <f>'Inntekter 2016-2019'!F37/1000</f>
        <v>-6883</v>
      </c>
      <c r="H163" s="90">
        <f>'Inntekter 2016-2019'!G37/1000</f>
        <v>-6883</v>
      </c>
      <c r="I163" s="90">
        <f>'Inntekter 2016-2019'!H37/1000</f>
        <v>-6883</v>
      </c>
    </row>
    <row r="164" spans="1:10" x14ac:dyDescent="0.25">
      <c r="A164" s="82">
        <f t="shared" si="23"/>
        <v>87</v>
      </c>
      <c r="B164" s="310" t="str">
        <f>'Inntekter 2016-2019'!B38</f>
        <v>Bruk av ubundet investeringsfond</v>
      </c>
      <c r="C164" s="311"/>
      <c r="D164" s="311"/>
      <c r="E164" s="312"/>
      <c r="F164" s="90">
        <f>'Inntekter 2016-2019'!E38/1000</f>
        <v>-16961</v>
      </c>
      <c r="G164" s="90">
        <f>'Inntekter 2016-2019'!F38/1000</f>
        <v>-7731</v>
      </c>
      <c r="H164" s="90">
        <f>'Inntekter 2016-2019'!G38/1000</f>
        <v>0</v>
      </c>
      <c r="I164" s="90">
        <f>'Inntekter 2016-2019'!H38/1000</f>
        <v>0</v>
      </c>
    </row>
    <row r="165" spans="1:10" x14ac:dyDescent="0.25">
      <c r="A165" s="82">
        <f t="shared" si="23"/>
        <v>88</v>
      </c>
      <c r="B165" s="310" t="str">
        <f>'Inntekter 2016-2019'!B39</f>
        <v>Overføring fra drift</v>
      </c>
      <c r="C165" s="311"/>
      <c r="D165" s="311"/>
      <c r="E165" s="312"/>
      <c r="F165" s="90">
        <f>'Inntekter 2016-2019'!E39/1000</f>
        <v>-62200</v>
      </c>
      <c r="G165" s="90">
        <f>'Inntekter 2016-2019'!F39/1000</f>
        <v>-63200</v>
      </c>
      <c r="H165" s="90">
        <f>'Inntekter 2016-2019'!G39/1000</f>
        <v>-64000</v>
      </c>
      <c r="I165" s="90">
        <f>'Inntekter 2016-2019'!H39/1000</f>
        <v>-65600</v>
      </c>
      <c r="J165" s="63"/>
    </row>
    <row r="166" spans="1:10" x14ac:dyDescent="0.25">
      <c r="A166" s="82">
        <f t="shared" si="23"/>
        <v>89</v>
      </c>
      <c r="B166" s="310" t="str">
        <f>'Inntekter 2016-2019'!B40</f>
        <v>Avdrag fra Lyse</v>
      </c>
      <c r="C166" s="311"/>
      <c r="D166" s="311"/>
      <c r="E166" s="312"/>
      <c r="F166" s="90">
        <f>'Inntekter 2016-2019'!E40/1000</f>
        <v>-8741</v>
      </c>
      <c r="G166" s="90">
        <f>'Inntekter 2016-2019'!F40/1000</f>
        <v>-8741</v>
      </c>
      <c r="H166" s="90">
        <f>'Inntekter 2016-2019'!G40/1000</f>
        <v>-8741</v>
      </c>
      <c r="I166" s="90">
        <f>'Inntekter 2016-2019'!H40/1000</f>
        <v>-8741</v>
      </c>
    </row>
    <row r="167" spans="1:10" x14ac:dyDescent="0.25">
      <c r="A167" s="82">
        <f t="shared" si="23"/>
        <v>90</v>
      </c>
      <c r="B167" s="310" t="str">
        <f>'Inntekter 2016-2019'!B41</f>
        <v>Momskompensajson i investering</v>
      </c>
      <c r="C167" s="311"/>
      <c r="D167" s="311"/>
      <c r="E167" s="312"/>
      <c r="F167" s="249">
        <f>'Inntekter 2016-2019'!E41/1000</f>
        <v>-29203</v>
      </c>
      <c r="G167" s="249">
        <f>'Inntekter 2016-2019'!F41/1000</f>
        <v>-54960</v>
      </c>
      <c r="H167" s="249">
        <f>'Inntekter 2016-2019'!G41/1000</f>
        <v>-55177</v>
      </c>
      <c r="I167" s="249">
        <f>'Inntekter 2016-2019'!H41/1000</f>
        <v>-30144</v>
      </c>
    </row>
    <row r="168" spans="1:10" x14ac:dyDescent="0.25">
      <c r="A168" s="82">
        <f t="shared" si="23"/>
        <v>91</v>
      </c>
      <c r="B168" s="310" t="s">
        <v>201</v>
      </c>
      <c r="C168" s="311"/>
      <c r="D168" s="311"/>
      <c r="E168" s="312"/>
      <c r="F168" s="256">
        <f>-(F155+(F159+F160+F161+F162+F163+F164+F165+F166+F167+F170))</f>
        <v>-139608</v>
      </c>
      <c r="G168" s="256">
        <f t="shared" ref="G168:H168" si="24">-(G155+(G159+G160+G161+G162+G163+G164+G165+G166+G167+G170))</f>
        <v>-43170</v>
      </c>
      <c r="H168" s="256">
        <f t="shared" si="24"/>
        <v>-195011</v>
      </c>
      <c r="I168" s="102">
        <v>0</v>
      </c>
      <c r="J168" s="63"/>
    </row>
    <row r="169" spans="1:10" s="40" customFormat="1" x14ac:dyDescent="0.25">
      <c r="A169" s="82">
        <f t="shared" si="23"/>
        <v>92</v>
      </c>
      <c r="B169" s="310" t="s">
        <v>175</v>
      </c>
      <c r="C169" s="311"/>
      <c r="D169" s="311"/>
      <c r="E169" s="312"/>
      <c r="F169" s="90">
        <f>-F155-(F159+F160+F161+F162+F163+F164+F165+F166+F167+F168)</f>
        <v>0</v>
      </c>
      <c r="G169" s="90">
        <f t="shared" ref="G169:H169" si="25">-G155-(G159+G160+G161+G162+G163+G164+G165+G166+G167+G168)</f>
        <v>0</v>
      </c>
      <c r="H169" s="90">
        <f t="shared" si="25"/>
        <v>0</v>
      </c>
      <c r="I169" s="256">
        <f>-(I155+(I159+I160+I161+I162+I163+I164+I165+I166+I167+I168+I170))</f>
        <v>92673</v>
      </c>
      <c r="J169" s="63"/>
    </row>
    <row r="170" spans="1:10" s="63" customFormat="1" x14ac:dyDescent="0.25">
      <c r="A170" s="82"/>
      <c r="B170" s="320" t="s">
        <v>293</v>
      </c>
      <c r="C170" s="321"/>
      <c r="D170" s="321"/>
      <c r="E170" s="322"/>
      <c r="F170" s="249">
        <v>0</v>
      </c>
      <c r="G170" s="249">
        <v>0</v>
      </c>
      <c r="H170" s="249">
        <v>0</v>
      </c>
      <c r="I170" s="256">
        <v>-4000</v>
      </c>
    </row>
    <row r="171" spans="1:10" s="41" customFormat="1" x14ac:dyDescent="0.25">
      <c r="A171" s="101"/>
      <c r="B171" s="307" t="str">
        <f>'Inntekter 2016-2019'!B43</f>
        <v>Sum inntekter</v>
      </c>
      <c r="C171" s="308"/>
      <c r="D171" s="308"/>
      <c r="E171" s="309"/>
      <c r="F171" s="279">
        <f>-SUM(F159:F170)</f>
        <v>296097</v>
      </c>
      <c r="G171" s="279">
        <f t="shared" ref="G171:I171" si="26">-SUM(G159:G170)</f>
        <v>361515</v>
      </c>
      <c r="H171" s="279">
        <f t="shared" si="26"/>
        <v>352812</v>
      </c>
      <c r="I171" s="279">
        <f t="shared" si="26"/>
        <v>229225</v>
      </c>
    </row>
    <row r="172" spans="1:10" x14ac:dyDescent="0.25">
      <c r="D172" s="5"/>
      <c r="E172" s="5"/>
      <c r="F172" s="5"/>
      <c r="G172" s="5"/>
      <c r="H172" s="5"/>
      <c r="I172" s="42"/>
    </row>
    <row r="173" spans="1:10" ht="30" customHeight="1" x14ac:dyDescent="0.25">
      <c r="A173" s="316" t="s">
        <v>64</v>
      </c>
      <c r="B173" s="316"/>
      <c r="C173" s="316"/>
      <c r="D173" s="316"/>
      <c r="E173" s="316"/>
      <c r="F173" s="316"/>
      <c r="G173" s="316"/>
      <c r="H173" s="316"/>
      <c r="I173" s="316"/>
    </row>
    <row r="174" spans="1:10" ht="30" x14ac:dyDescent="0.25">
      <c r="A174" s="83" t="s">
        <v>43</v>
      </c>
      <c r="B174" s="83" t="s">
        <v>155</v>
      </c>
      <c r="C174" s="83" t="s">
        <v>1</v>
      </c>
      <c r="D174" s="84" t="s">
        <v>42</v>
      </c>
      <c r="E174" s="85" t="s">
        <v>212</v>
      </c>
      <c r="F174" s="86">
        <v>2016</v>
      </c>
      <c r="G174" s="86">
        <v>2017</v>
      </c>
      <c r="H174" s="86">
        <v>2018</v>
      </c>
      <c r="I174" s="86">
        <v>2019</v>
      </c>
    </row>
    <row r="175" spans="1:10" x14ac:dyDescent="0.25">
      <c r="A175" s="82">
        <f>A169+1</f>
        <v>93</v>
      </c>
      <c r="B175" s="262" t="str">
        <f>'B 2016-2019'!B11</f>
        <v>Skadbergv./Åsenv. lavbl. (50 leil. for salg)</v>
      </c>
      <c r="C175" s="94">
        <f>'B 2016-2019'!C11</f>
        <v>39068</v>
      </c>
      <c r="D175" s="90">
        <f>SUM('B 2016-2019'!D11:D11)/1000</f>
        <v>137444</v>
      </c>
      <c r="E175" s="90">
        <f>'B 2016-2019'!E11/1000</f>
        <v>120582</v>
      </c>
      <c r="F175" s="90">
        <f>'B 2016-2019'!F11/1000</f>
        <v>16862</v>
      </c>
      <c r="G175" s="90">
        <f>'B 2016-2019'!G11/1000</f>
        <v>0</v>
      </c>
      <c r="H175" s="90">
        <f>'B 2016-2019'!H11/1000</f>
        <v>0</v>
      </c>
      <c r="I175" s="90">
        <f>'B 2016-2019'!I11/1000</f>
        <v>0</v>
      </c>
    </row>
    <row r="176" spans="1:10" s="40" customFormat="1" x14ac:dyDescent="0.25">
      <c r="A176" s="82">
        <f>A175+1</f>
        <v>94</v>
      </c>
      <c r="B176" s="262" t="str">
        <f>'B 2016-2019'!B10</f>
        <v>Myklebust felt G</v>
      </c>
      <c r="C176" s="89">
        <f>'B 2016-2019'!C10</f>
        <v>39605</v>
      </c>
      <c r="D176" s="90">
        <f>SUM('B 2016-2019'!D10:D10)/1000</f>
        <v>58817</v>
      </c>
      <c r="E176" s="90">
        <f>'B 2016-2019'!E10/1000</f>
        <v>0</v>
      </c>
      <c r="F176" s="90">
        <f>'B 2016-2019'!F10/1000</f>
        <v>58817</v>
      </c>
      <c r="G176" s="90">
        <f>'B 2016-2019'!G10/100</f>
        <v>0</v>
      </c>
      <c r="H176" s="90">
        <f>'B 2016-2019'!H10/1000</f>
        <v>0</v>
      </c>
      <c r="I176" s="90">
        <f>'B 2016-2019'!I10/1000</f>
        <v>0</v>
      </c>
    </row>
    <row r="177" spans="1:9" s="63" customFormat="1" x14ac:dyDescent="0.25">
      <c r="A177" s="239"/>
      <c r="B177" s="264">
        <f>'B 2016-2019'!B17</f>
        <v>0</v>
      </c>
      <c r="C177" s="243">
        <f>'B 2016-2019'!C17</f>
        <v>0</v>
      </c>
      <c r="D177" s="263">
        <f>'B 2016-2019'!D17</f>
        <v>0</v>
      </c>
      <c r="E177" s="245">
        <f>'B 2016-2019'!E17</f>
        <v>0</v>
      </c>
      <c r="F177" s="263">
        <f>'B 2016-2019'!F17</f>
        <v>0</v>
      </c>
      <c r="G177" s="245">
        <f>'B 2016-2019'!G17</f>
        <v>0</v>
      </c>
      <c r="H177" s="263">
        <f>'B 2016-2019'!H17</f>
        <v>0</v>
      </c>
      <c r="I177" s="245">
        <f>'B 2016-2019'!I17</f>
        <v>0</v>
      </c>
    </row>
    <row r="178" spans="1:9" s="63" customFormat="1" x14ac:dyDescent="0.25">
      <c r="A178" s="239"/>
      <c r="B178" s="264">
        <f>'B 2016-2019'!B18</f>
        <v>0</v>
      </c>
      <c r="C178" s="243">
        <f>'B 2016-2019'!C18</f>
        <v>0</v>
      </c>
      <c r="D178" s="263">
        <f>'B 2016-2019'!D18</f>
        <v>0</v>
      </c>
      <c r="E178" s="245">
        <f>'B 2016-2019'!E18</f>
        <v>0</v>
      </c>
      <c r="F178" s="263">
        <f>'B 2016-2019'!F18</f>
        <v>0</v>
      </c>
      <c r="G178" s="245">
        <f>'B 2016-2019'!G18</f>
        <v>0</v>
      </c>
      <c r="H178" s="263">
        <f>'B 2016-2019'!H18</f>
        <v>0</v>
      </c>
      <c r="I178" s="245">
        <f>'B 2016-2019'!I18</f>
        <v>0</v>
      </c>
    </row>
    <row r="179" spans="1:9" s="63" customFormat="1" x14ac:dyDescent="0.25">
      <c r="A179" s="239"/>
      <c r="B179" s="264">
        <f>'B 2016-2019'!B19</f>
        <v>0</v>
      </c>
      <c r="C179" s="243">
        <f>'B 2016-2019'!C19</f>
        <v>0</v>
      </c>
      <c r="D179" s="263">
        <f>'B 2016-2019'!D19</f>
        <v>0</v>
      </c>
      <c r="E179" s="245">
        <f>'B 2016-2019'!E19</f>
        <v>0</v>
      </c>
      <c r="F179" s="263">
        <f>'B 2016-2019'!F19</f>
        <v>0</v>
      </c>
      <c r="G179" s="245">
        <f>'B 2016-2019'!G19</f>
        <v>0</v>
      </c>
      <c r="H179" s="263">
        <f>'B 2016-2019'!H19</f>
        <v>0</v>
      </c>
      <c r="I179" s="245">
        <f>'B 2016-2019'!I19</f>
        <v>0</v>
      </c>
    </row>
    <row r="180" spans="1:9" x14ac:dyDescent="0.25">
      <c r="A180" s="93"/>
      <c r="B180" s="301" t="s">
        <v>157</v>
      </c>
      <c r="C180" s="302"/>
      <c r="D180" s="302"/>
      <c r="E180" s="303"/>
      <c r="F180" s="252">
        <f>SUM(F175:F179)</f>
        <v>75679</v>
      </c>
      <c r="G180" s="252">
        <f t="shared" ref="G180:I180" si="27">SUM(G175:G179)</f>
        <v>0</v>
      </c>
      <c r="H180" s="252">
        <f t="shared" si="27"/>
        <v>0</v>
      </c>
      <c r="I180" s="252">
        <f t="shared" si="27"/>
        <v>0</v>
      </c>
    </row>
    <row r="181" spans="1:9" x14ac:dyDescent="0.25">
      <c r="D181" s="5"/>
      <c r="E181" s="5"/>
      <c r="F181" s="5"/>
      <c r="G181" s="5"/>
      <c r="H181" s="5"/>
      <c r="I181" s="42"/>
    </row>
    <row r="182" spans="1:9" ht="30" customHeight="1" x14ac:dyDescent="0.25">
      <c r="A182" s="316" t="s">
        <v>149</v>
      </c>
      <c r="B182" s="316"/>
      <c r="C182" s="316"/>
      <c r="D182" s="316"/>
      <c r="E182" s="316"/>
      <c r="F182" s="316"/>
      <c r="G182" s="316"/>
      <c r="H182" s="316"/>
      <c r="I182" s="316"/>
    </row>
    <row r="183" spans="1:9" x14ac:dyDescent="0.25">
      <c r="A183" s="83" t="s">
        <v>43</v>
      </c>
      <c r="B183" s="323" t="s">
        <v>149</v>
      </c>
      <c r="C183" s="324"/>
      <c r="D183" s="324"/>
      <c r="E183" s="325"/>
      <c r="F183" s="86">
        <v>2016</v>
      </c>
      <c r="G183" s="86">
        <v>2017</v>
      </c>
      <c r="H183" s="86">
        <v>2018</v>
      </c>
      <c r="I183" s="86">
        <v>2019</v>
      </c>
    </row>
    <row r="184" spans="1:9" x14ac:dyDescent="0.25">
      <c r="A184" s="82">
        <f>A176+1</f>
        <v>95</v>
      </c>
      <c r="B184" s="310" t="s">
        <v>150</v>
      </c>
      <c r="C184" s="311"/>
      <c r="D184" s="311"/>
      <c r="E184" s="312"/>
      <c r="F184" s="90">
        <f>-75679000/1000</f>
        <v>-75679</v>
      </c>
      <c r="G184" s="90">
        <v>0</v>
      </c>
      <c r="H184" s="90">
        <v>0</v>
      </c>
      <c r="I184" s="90">
        <v>0</v>
      </c>
    </row>
    <row r="185" spans="1:9" x14ac:dyDescent="0.25">
      <c r="A185" s="82">
        <f>A184+1</f>
        <v>96</v>
      </c>
      <c r="B185" s="310" t="s">
        <v>151</v>
      </c>
      <c r="C185" s="311"/>
      <c r="D185" s="311"/>
      <c r="E185" s="312"/>
      <c r="F185" s="90">
        <f>('Inntekter 2016-2019'!E4+'Inntekter 2016-2019'!E6+'Inntekter 2016-2019'!E8)/1000</f>
        <v>-270247</v>
      </c>
      <c r="G185" s="90">
        <f>('Inntekter 2016-2019'!F4+'Inntekter 2016-2019'!F6+'Inntekter 2016-2019'!F8)/1000</f>
        <v>-76453</v>
      </c>
      <c r="H185" s="90">
        <f>('Inntekter 2016-2019'!G4+'Inntekter 2016-2019'!G6+'Inntekter 2016-2019'!G8)/1000</f>
        <v>0</v>
      </c>
      <c r="I185" s="90">
        <f>('Inntekter 2016-2019'!H4+'Inntekter 2016-2019'!H6+'Inntekter 2016-2019'!H8)/1000</f>
        <v>0</v>
      </c>
    </row>
    <row r="186" spans="1:9" x14ac:dyDescent="0.25">
      <c r="A186" s="82">
        <f t="shared" ref="A186:A187" si="28">A185+1</f>
        <v>97</v>
      </c>
      <c r="B186" s="310" t="s">
        <v>4</v>
      </c>
      <c r="C186" s="311"/>
      <c r="D186" s="311"/>
      <c r="E186" s="312"/>
      <c r="F186" s="90">
        <f>253286000/1000</f>
        <v>253286</v>
      </c>
      <c r="G186" s="102">
        <f>68722000/1000</f>
        <v>68722</v>
      </c>
      <c r="H186" s="90">
        <v>0</v>
      </c>
      <c r="I186" s="90">
        <v>0</v>
      </c>
    </row>
    <row r="187" spans="1:9" x14ac:dyDescent="0.25">
      <c r="A187" s="82">
        <f t="shared" si="28"/>
        <v>98</v>
      </c>
      <c r="B187" s="310" t="s">
        <v>152</v>
      </c>
      <c r="C187" s="311"/>
      <c r="D187" s="311"/>
      <c r="E187" s="312"/>
      <c r="F187" s="90">
        <f>'Inntekter 2016-2019'!E10/1000</f>
        <v>16961</v>
      </c>
      <c r="G187" s="90">
        <f>'Inntekter 2016-2019'!F10/1000</f>
        <v>7731</v>
      </c>
      <c r="H187" s="90">
        <f>'Inntekter 2016-2019'!G10/1000/1000</f>
        <v>0</v>
      </c>
      <c r="I187" s="90">
        <f>'Inntekter 2016-2019'!H10/1000</f>
        <v>0</v>
      </c>
    </row>
    <row r="188" spans="1:9" x14ac:dyDescent="0.25">
      <c r="A188" s="93"/>
      <c r="B188" s="301" t="s">
        <v>153</v>
      </c>
      <c r="C188" s="302"/>
      <c r="D188" s="302"/>
      <c r="E188" s="303"/>
      <c r="F188" s="252">
        <f t="shared" ref="F188:I188" si="29">SUM(F184:F187)</f>
        <v>-75679</v>
      </c>
      <c r="G188" s="252">
        <f t="shared" si="29"/>
        <v>0</v>
      </c>
      <c r="H188" s="252">
        <f t="shared" si="29"/>
        <v>0</v>
      </c>
      <c r="I188" s="252">
        <f t="shared" si="29"/>
        <v>0</v>
      </c>
    </row>
    <row r="189" spans="1:9" x14ac:dyDescent="0.25">
      <c r="D189" s="5"/>
      <c r="E189" s="5"/>
      <c r="F189" s="5"/>
      <c r="G189" s="5"/>
      <c r="H189" s="5"/>
      <c r="I189" s="42"/>
    </row>
    <row r="190" spans="1:9" ht="30.75" customHeight="1" x14ac:dyDescent="0.25">
      <c r="A190" s="316" t="s">
        <v>156</v>
      </c>
      <c r="B190" s="316"/>
      <c r="C190" s="316"/>
      <c r="D190" s="316"/>
      <c r="E190" s="316"/>
      <c r="F190" s="316"/>
      <c r="G190" s="316"/>
      <c r="H190" s="316"/>
      <c r="I190" s="316"/>
    </row>
    <row r="191" spans="1:9" x14ac:dyDescent="0.25">
      <c r="A191" s="83" t="s">
        <v>43</v>
      </c>
      <c r="B191" s="323" t="s">
        <v>156</v>
      </c>
      <c r="C191" s="324"/>
      <c r="D191" s="324"/>
      <c r="E191" s="325"/>
      <c r="F191" s="86">
        <v>2016</v>
      </c>
      <c r="G191" s="86">
        <v>2017</v>
      </c>
      <c r="H191" s="86">
        <v>2018</v>
      </c>
      <c r="I191" s="86">
        <v>2019</v>
      </c>
    </row>
    <row r="192" spans="1:9" x14ac:dyDescent="0.25">
      <c r="A192" s="82">
        <f>A187+1</f>
        <v>99</v>
      </c>
      <c r="B192" s="313" t="s">
        <v>158</v>
      </c>
      <c r="C192" s="313"/>
      <c r="D192" s="313"/>
      <c r="E192" s="313"/>
      <c r="F192" s="90">
        <f>-40000000/1000</f>
        <v>-40000</v>
      </c>
      <c r="G192" s="90">
        <f>-40000000/1000</f>
        <v>-40000</v>
      </c>
      <c r="H192" s="90">
        <f>-40000000/1000</f>
        <v>-40000</v>
      </c>
      <c r="I192" s="90">
        <f>-40000000/1000</f>
        <v>-40000</v>
      </c>
    </row>
    <row r="193" spans="1:9" x14ac:dyDescent="0.25">
      <c r="A193" s="82">
        <f>A192+1</f>
        <v>100</v>
      </c>
      <c r="B193" s="313" t="s">
        <v>177</v>
      </c>
      <c r="C193" s="313"/>
      <c r="D193" s="313"/>
      <c r="E193" s="313"/>
      <c r="F193" s="102">
        <f>40000000/1000</f>
        <v>40000</v>
      </c>
      <c r="G193" s="102">
        <f>40000000/1000</f>
        <v>40000</v>
      </c>
      <c r="H193" s="102">
        <f>40000000/1000</f>
        <v>40000</v>
      </c>
      <c r="I193" s="102">
        <f>40000000/1000</f>
        <v>40000</v>
      </c>
    </row>
    <row r="194" spans="1:9" x14ac:dyDescent="0.25">
      <c r="A194" s="82">
        <f t="shared" ref="A194:A195" si="30">A193+1</f>
        <v>101</v>
      </c>
      <c r="B194" s="313" t="s">
        <v>178</v>
      </c>
      <c r="C194" s="313"/>
      <c r="D194" s="313"/>
      <c r="E194" s="313"/>
      <c r="F194" s="90">
        <f>-5000000/1000</f>
        <v>-5000</v>
      </c>
      <c r="G194" s="90">
        <f>-5000000/1000</f>
        <v>-5000</v>
      </c>
      <c r="H194" s="90">
        <f>-5000000/1000</f>
        <v>-5000</v>
      </c>
      <c r="I194" s="90">
        <f>-5000000/1000</f>
        <v>-5000</v>
      </c>
    </row>
    <row r="195" spans="1:9" x14ac:dyDescent="0.25">
      <c r="A195" s="82">
        <f t="shared" si="30"/>
        <v>102</v>
      </c>
      <c r="B195" s="313" t="s">
        <v>159</v>
      </c>
      <c r="C195" s="313"/>
      <c r="D195" s="313"/>
      <c r="E195" s="313"/>
      <c r="F195" s="102">
        <f>5000000/1000</f>
        <v>5000</v>
      </c>
      <c r="G195" s="102">
        <f>5000000/1000</f>
        <v>5000</v>
      </c>
      <c r="H195" s="102">
        <f>5000000/1000</f>
        <v>5000</v>
      </c>
      <c r="I195" s="102">
        <f>5000000/1000</f>
        <v>5000</v>
      </c>
    </row>
    <row r="196" spans="1:9" x14ac:dyDescent="0.25">
      <c r="A196" s="93"/>
      <c r="B196" s="301" t="s">
        <v>160</v>
      </c>
      <c r="C196" s="302"/>
      <c r="D196" s="302"/>
      <c r="E196" s="303"/>
      <c r="F196" s="252">
        <f t="shared" ref="F196:I196" si="31">SUM(F192:F195)</f>
        <v>0</v>
      </c>
      <c r="G196" s="252">
        <f t="shared" si="31"/>
        <v>0</v>
      </c>
      <c r="H196" s="252">
        <f t="shared" si="31"/>
        <v>0</v>
      </c>
      <c r="I196" s="252">
        <f t="shared" si="31"/>
        <v>0</v>
      </c>
    </row>
    <row r="197" spans="1:9" x14ac:dyDescent="0.25">
      <c r="D197" s="5"/>
      <c r="E197" s="5"/>
      <c r="F197" s="5"/>
      <c r="G197" s="5"/>
      <c r="H197" s="5"/>
      <c r="I197" s="42"/>
    </row>
    <row r="198" spans="1:9" x14ac:dyDescent="0.25">
      <c r="D198" s="5"/>
      <c r="E198" s="5"/>
      <c r="F198" s="5"/>
      <c r="G198" s="5"/>
      <c r="H198" s="5"/>
      <c r="I198" s="42"/>
    </row>
    <row r="199" spans="1:9" x14ac:dyDescent="0.25">
      <c r="D199" s="5"/>
      <c r="E199" s="5"/>
      <c r="F199" s="5"/>
      <c r="G199" s="5"/>
      <c r="H199" s="5"/>
      <c r="I199" s="42"/>
    </row>
    <row r="200" spans="1:9" x14ac:dyDescent="0.25">
      <c r="D200" s="5"/>
      <c r="E200" s="5"/>
      <c r="F200" s="5"/>
      <c r="G200" s="5"/>
      <c r="H200" s="5"/>
      <c r="I200" s="42"/>
    </row>
    <row r="201" spans="1:9" x14ac:dyDescent="0.25">
      <c r="D201" s="5"/>
      <c r="E201" s="5"/>
      <c r="F201" s="5"/>
      <c r="G201" s="5"/>
      <c r="H201" s="5"/>
      <c r="I201" s="42"/>
    </row>
    <row r="202" spans="1:9" x14ac:dyDescent="0.25">
      <c r="D202" s="5"/>
      <c r="E202" s="5"/>
      <c r="F202" s="5"/>
      <c r="G202" s="5"/>
      <c r="H202" s="5"/>
      <c r="I202" s="42"/>
    </row>
    <row r="203" spans="1:9" x14ac:dyDescent="0.25">
      <c r="D203" s="5"/>
      <c r="E203" s="5"/>
      <c r="F203" s="5"/>
      <c r="G203" s="5"/>
      <c r="H203" s="5"/>
      <c r="I203" s="42"/>
    </row>
    <row r="204" spans="1:9" x14ac:dyDescent="0.25">
      <c r="D204" s="5"/>
      <c r="E204" s="5"/>
      <c r="F204" s="5"/>
      <c r="G204" s="5"/>
      <c r="H204" s="5"/>
      <c r="I204" s="42"/>
    </row>
    <row r="205" spans="1:9" x14ac:dyDescent="0.25">
      <c r="D205" s="5"/>
      <c r="E205" s="5"/>
      <c r="F205" s="5"/>
      <c r="G205" s="5"/>
      <c r="H205" s="5"/>
      <c r="I205" s="42"/>
    </row>
    <row r="206" spans="1:9" x14ac:dyDescent="0.25">
      <c r="D206" s="5"/>
      <c r="E206" s="5"/>
      <c r="F206" s="5"/>
      <c r="G206" s="5"/>
      <c r="H206" s="5"/>
      <c r="I206" s="42"/>
    </row>
    <row r="207" spans="1:9" x14ac:dyDescent="0.25">
      <c r="D207" s="5"/>
      <c r="E207" s="5"/>
      <c r="F207" s="5"/>
      <c r="G207" s="5"/>
      <c r="H207" s="5"/>
      <c r="I207" s="42"/>
    </row>
    <row r="208" spans="1:9" x14ac:dyDescent="0.25">
      <c r="D208" s="5"/>
      <c r="E208" s="5"/>
      <c r="F208" s="5"/>
      <c r="G208" s="5"/>
      <c r="H208" s="5"/>
      <c r="I208" s="42"/>
    </row>
    <row r="209" spans="4:9" x14ac:dyDescent="0.25">
      <c r="D209" s="5"/>
      <c r="E209" s="5"/>
      <c r="F209" s="5"/>
      <c r="G209" s="5"/>
      <c r="H209" s="5"/>
      <c r="I209" s="42"/>
    </row>
    <row r="210" spans="4:9" x14ac:dyDescent="0.25">
      <c r="D210" s="5"/>
      <c r="E210" s="5"/>
      <c r="F210" s="5"/>
      <c r="G210" s="5"/>
      <c r="H210" s="5"/>
      <c r="I210" s="42"/>
    </row>
    <row r="211" spans="4:9" x14ac:dyDescent="0.25">
      <c r="D211" s="5"/>
      <c r="E211" s="5"/>
      <c r="F211" s="5"/>
      <c r="G211" s="5"/>
      <c r="H211" s="5"/>
      <c r="I211" s="42"/>
    </row>
    <row r="212" spans="4:9" x14ac:dyDescent="0.25">
      <c r="D212" s="5"/>
      <c r="E212" s="5"/>
      <c r="F212" s="5"/>
      <c r="G212" s="5"/>
      <c r="H212" s="5"/>
      <c r="I212" s="42"/>
    </row>
    <row r="213" spans="4:9" x14ac:dyDescent="0.25">
      <c r="D213" s="5"/>
      <c r="E213" s="5"/>
      <c r="F213" s="5"/>
      <c r="G213" s="5"/>
      <c r="H213" s="5"/>
      <c r="I213" s="42"/>
    </row>
    <row r="214" spans="4:9" x14ac:dyDescent="0.25">
      <c r="D214" s="5"/>
      <c r="E214" s="5"/>
      <c r="F214" s="5"/>
      <c r="G214" s="5"/>
      <c r="H214" s="5"/>
      <c r="I214" s="42"/>
    </row>
    <row r="215" spans="4:9" x14ac:dyDescent="0.25">
      <c r="D215" s="5"/>
      <c r="E215" s="5"/>
      <c r="F215" s="5"/>
      <c r="G215" s="5"/>
      <c r="H215" s="5"/>
      <c r="I215" s="42"/>
    </row>
    <row r="216" spans="4:9" x14ac:dyDescent="0.25">
      <c r="D216" s="5"/>
      <c r="E216" s="5"/>
      <c r="F216" s="5"/>
      <c r="G216" s="5"/>
      <c r="H216" s="5"/>
      <c r="I216" s="42"/>
    </row>
    <row r="217" spans="4:9" x14ac:dyDescent="0.25">
      <c r="D217" s="5"/>
      <c r="E217" s="5"/>
      <c r="F217" s="5"/>
      <c r="G217" s="5"/>
      <c r="H217" s="5"/>
      <c r="I217" s="42"/>
    </row>
    <row r="218" spans="4:9" x14ac:dyDescent="0.25">
      <c r="D218" s="5"/>
      <c r="E218" s="5"/>
      <c r="F218" s="5"/>
      <c r="G218" s="5"/>
      <c r="H218" s="5"/>
      <c r="I218" s="42"/>
    </row>
    <row r="219" spans="4:9" x14ac:dyDescent="0.25">
      <c r="D219" s="5"/>
      <c r="E219" s="5"/>
      <c r="F219" s="5"/>
      <c r="G219" s="5"/>
      <c r="H219" s="5"/>
      <c r="I219" s="42"/>
    </row>
    <row r="220" spans="4:9" x14ac:dyDescent="0.25">
      <c r="D220" s="5"/>
      <c r="E220" s="5"/>
      <c r="F220" s="5"/>
      <c r="G220" s="5"/>
      <c r="H220" s="5"/>
      <c r="I220" s="42"/>
    </row>
    <row r="221" spans="4:9" x14ac:dyDescent="0.25">
      <c r="D221" s="5"/>
      <c r="E221" s="5"/>
      <c r="F221" s="5"/>
      <c r="G221" s="5"/>
      <c r="H221" s="5"/>
      <c r="I221" s="42"/>
    </row>
    <row r="222" spans="4:9" x14ac:dyDescent="0.25">
      <c r="D222" s="5"/>
      <c r="E222" s="5"/>
      <c r="F222" s="5"/>
      <c r="G222" s="5"/>
      <c r="H222" s="5"/>
      <c r="I222" s="42"/>
    </row>
    <row r="223" spans="4:9" x14ac:dyDescent="0.25">
      <c r="D223" s="5"/>
      <c r="E223" s="5"/>
      <c r="F223" s="5"/>
      <c r="G223" s="5"/>
      <c r="H223" s="5"/>
      <c r="I223" s="42"/>
    </row>
    <row r="224" spans="4:9" x14ac:dyDescent="0.25">
      <c r="D224" s="5"/>
      <c r="E224" s="5"/>
      <c r="F224" s="5"/>
      <c r="G224" s="5"/>
      <c r="H224" s="5"/>
      <c r="I224" s="42"/>
    </row>
    <row r="225" spans="4:9" x14ac:dyDescent="0.25">
      <c r="D225" s="5"/>
      <c r="E225" s="5"/>
      <c r="F225" s="5"/>
      <c r="G225" s="5"/>
      <c r="H225" s="5"/>
      <c r="I225" s="42"/>
    </row>
    <row r="226" spans="4:9" x14ac:dyDescent="0.25">
      <c r="D226" s="5"/>
      <c r="E226" s="5"/>
      <c r="F226" s="5"/>
      <c r="G226" s="5"/>
      <c r="H226" s="5"/>
      <c r="I226" s="42"/>
    </row>
    <row r="227" spans="4:9" x14ac:dyDescent="0.25">
      <c r="D227" s="5"/>
      <c r="E227" s="5"/>
      <c r="F227" s="5"/>
      <c r="G227" s="5"/>
      <c r="H227" s="5"/>
      <c r="I227" s="42"/>
    </row>
    <row r="228" spans="4:9" x14ac:dyDescent="0.25">
      <c r="D228" s="5"/>
      <c r="E228" s="5"/>
      <c r="F228" s="5"/>
      <c r="G228" s="5"/>
      <c r="H228" s="5"/>
      <c r="I228" s="42"/>
    </row>
    <row r="229" spans="4:9" x14ac:dyDescent="0.25">
      <c r="D229" s="5"/>
      <c r="E229" s="5"/>
      <c r="F229" s="5"/>
      <c r="G229" s="5"/>
      <c r="H229" s="5"/>
      <c r="I229" s="42"/>
    </row>
    <row r="230" spans="4:9" x14ac:dyDescent="0.25">
      <c r="D230" s="5"/>
      <c r="E230" s="5"/>
      <c r="F230" s="5"/>
      <c r="G230" s="5"/>
      <c r="H230" s="5"/>
      <c r="I230" s="42"/>
    </row>
    <row r="231" spans="4:9" x14ac:dyDescent="0.25">
      <c r="D231" s="5"/>
      <c r="E231" s="5"/>
      <c r="F231" s="5"/>
      <c r="G231" s="5"/>
      <c r="H231" s="5"/>
      <c r="I231" s="42"/>
    </row>
    <row r="232" spans="4:9" x14ac:dyDescent="0.25">
      <c r="D232" s="5"/>
      <c r="E232" s="5"/>
      <c r="F232" s="5"/>
      <c r="G232" s="5"/>
      <c r="H232" s="5"/>
      <c r="I232" s="42"/>
    </row>
    <row r="233" spans="4:9" x14ac:dyDescent="0.25">
      <c r="D233" s="5"/>
      <c r="E233" s="5"/>
      <c r="F233" s="5"/>
      <c r="G233" s="5"/>
      <c r="H233" s="5"/>
      <c r="I233" s="42"/>
    </row>
    <row r="234" spans="4:9" x14ac:dyDescent="0.25">
      <c r="D234" s="5"/>
      <c r="E234" s="5"/>
      <c r="F234" s="5"/>
      <c r="G234" s="5"/>
      <c r="H234" s="5"/>
      <c r="I234" s="42"/>
    </row>
    <row r="235" spans="4:9" x14ac:dyDescent="0.25">
      <c r="D235" s="5"/>
      <c r="E235" s="5"/>
      <c r="F235" s="5"/>
      <c r="G235" s="5"/>
      <c r="H235" s="5"/>
      <c r="I235" s="42"/>
    </row>
    <row r="236" spans="4:9" x14ac:dyDescent="0.25">
      <c r="D236" s="5"/>
      <c r="E236" s="5"/>
      <c r="F236" s="5"/>
      <c r="G236" s="5"/>
      <c r="H236" s="5"/>
      <c r="I236" s="42"/>
    </row>
    <row r="237" spans="4:9" x14ac:dyDescent="0.25">
      <c r="D237" s="5"/>
      <c r="E237" s="5"/>
      <c r="F237" s="5"/>
      <c r="G237" s="5"/>
      <c r="H237" s="5"/>
      <c r="I237" s="42"/>
    </row>
    <row r="238" spans="4:9" x14ac:dyDescent="0.25">
      <c r="D238" s="5"/>
      <c r="E238" s="5"/>
      <c r="F238" s="5"/>
      <c r="G238" s="5"/>
      <c r="H238" s="5"/>
      <c r="I238" s="42"/>
    </row>
    <row r="239" spans="4:9" x14ac:dyDescent="0.25">
      <c r="D239" s="5"/>
      <c r="E239" s="5"/>
      <c r="F239" s="5"/>
      <c r="G239" s="5"/>
      <c r="H239" s="5"/>
      <c r="I239" s="42"/>
    </row>
    <row r="240" spans="4:9" x14ac:dyDescent="0.25">
      <c r="D240" s="5"/>
      <c r="E240" s="5"/>
      <c r="F240" s="5"/>
      <c r="G240" s="5"/>
      <c r="H240" s="5"/>
      <c r="I240" s="42"/>
    </row>
    <row r="241" spans="4:9" x14ac:dyDescent="0.25">
      <c r="D241" s="5"/>
      <c r="E241" s="5"/>
      <c r="F241" s="5"/>
      <c r="G241" s="5"/>
      <c r="H241" s="5"/>
      <c r="I241" s="42"/>
    </row>
    <row r="242" spans="4:9" x14ac:dyDescent="0.25">
      <c r="D242" s="5"/>
      <c r="E242" s="5"/>
      <c r="F242" s="5"/>
      <c r="G242" s="5"/>
      <c r="H242" s="5"/>
      <c r="I242" s="42"/>
    </row>
    <row r="243" spans="4:9" x14ac:dyDescent="0.25">
      <c r="D243" s="5"/>
      <c r="E243" s="5"/>
      <c r="F243" s="5"/>
      <c r="G243" s="5"/>
      <c r="H243" s="5"/>
      <c r="I243" s="42"/>
    </row>
    <row r="244" spans="4:9" x14ac:dyDescent="0.25">
      <c r="D244" s="5"/>
      <c r="E244" s="5"/>
      <c r="F244" s="5"/>
      <c r="G244" s="5"/>
      <c r="H244" s="5"/>
      <c r="I244" s="42"/>
    </row>
    <row r="245" spans="4:9" x14ac:dyDescent="0.25">
      <c r="D245" s="5"/>
      <c r="E245" s="5"/>
      <c r="F245" s="5"/>
      <c r="G245" s="5"/>
      <c r="H245" s="5"/>
      <c r="I245" s="42"/>
    </row>
    <row r="246" spans="4:9" x14ac:dyDescent="0.25">
      <c r="D246" s="5"/>
      <c r="E246" s="5"/>
      <c r="F246" s="5"/>
      <c r="G246" s="5"/>
      <c r="H246" s="5"/>
      <c r="I246" s="42"/>
    </row>
    <row r="247" spans="4:9" x14ac:dyDescent="0.25">
      <c r="D247" s="5"/>
      <c r="E247" s="5"/>
      <c r="F247" s="5"/>
      <c r="G247" s="5"/>
      <c r="H247" s="5"/>
      <c r="I247" s="42"/>
    </row>
    <row r="248" spans="4:9" x14ac:dyDescent="0.25">
      <c r="D248" s="5"/>
      <c r="E248" s="5"/>
      <c r="F248" s="5"/>
      <c r="G248" s="5"/>
      <c r="H248" s="5"/>
      <c r="I248" s="42"/>
    </row>
    <row r="249" spans="4:9" x14ac:dyDescent="0.25">
      <c r="D249" s="5"/>
      <c r="E249" s="5"/>
      <c r="F249" s="5"/>
      <c r="G249" s="5"/>
      <c r="H249" s="5"/>
      <c r="I249" s="42"/>
    </row>
    <row r="250" spans="4:9" x14ac:dyDescent="0.25">
      <c r="D250" s="5"/>
      <c r="E250" s="5"/>
      <c r="F250" s="5"/>
      <c r="G250" s="5"/>
      <c r="H250" s="5"/>
      <c r="I250" s="42"/>
    </row>
    <row r="251" spans="4:9" x14ac:dyDescent="0.25">
      <c r="D251" s="5"/>
      <c r="E251" s="5"/>
      <c r="F251" s="5"/>
      <c r="G251" s="5"/>
      <c r="H251" s="5"/>
      <c r="I251" s="42"/>
    </row>
    <row r="252" spans="4:9" x14ac:dyDescent="0.25">
      <c r="D252" s="5"/>
      <c r="E252" s="5"/>
      <c r="F252" s="5"/>
      <c r="G252" s="5"/>
      <c r="H252" s="5"/>
      <c r="I252" s="42"/>
    </row>
    <row r="253" spans="4:9" x14ac:dyDescent="0.25">
      <c r="D253" s="5"/>
      <c r="E253" s="5"/>
      <c r="F253" s="5"/>
      <c r="G253" s="5"/>
      <c r="H253" s="5"/>
      <c r="I253" s="42"/>
    </row>
    <row r="254" spans="4:9" x14ac:dyDescent="0.25">
      <c r="D254" s="5"/>
      <c r="E254" s="5"/>
      <c r="F254" s="5"/>
      <c r="G254" s="5"/>
      <c r="H254" s="5"/>
      <c r="I254" s="42"/>
    </row>
    <row r="255" spans="4:9" x14ac:dyDescent="0.25">
      <c r="D255" s="5"/>
      <c r="E255" s="5"/>
      <c r="F255" s="5"/>
      <c r="G255" s="5"/>
      <c r="H255" s="5"/>
      <c r="I255" s="42"/>
    </row>
    <row r="256" spans="4:9" x14ac:dyDescent="0.25">
      <c r="D256" s="5"/>
      <c r="E256" s="5"/>
      <c r="F256" s="5"/>
      <c r="G256" s="5"/>
      <c r="H256" s="5"/>
      <c r="I256" s="42"/>
    </row>
    <row r="257" spans="4:9" x14ac:dyDescent="0.25">
      <c r="D257" s="5"/>
      <c r="E257" s="5"/>
      <c r="F257" s="5"/>
      <c r="G257" s="5"/>
      <c r="H257" s="5"/>
      <c r="I257" s="42"/>
    </row>
    <row r="258" spans="4:9" x14ac:dyDescent="0.25">
      <c r="D258" s="5"/>
      <c r="E258" s="5"/>
      <c r="F258" s="5"/>
      <c r="G258" s="5"/>
      <c r="H258" s="5"/>
      <c r="I258" s="42"/>
    </row>
    <row r="259" spans="4:9" x14ac:dyDescent="0.25">
      <c r="D259" s="5"/>
      <c r="E259" s="5"/>
      <c r="F259" s="5"/>
      <c r="G259" s="5"/>
      <c r="H259" s="5"/>
      <c r="I259" s="42"/>
    </row>
    <row r="260" spans="4:9" x14ac:dyDescent="0.25">
      <c r="D260" s="5"/>
      <c r="E260" s="5"/>
      <c r="F260" s="5"/>
      <c r="G260" s="5"/>
      <c r="H260" s="5"/>
      <c r="I260" s="42"/>
    </row>
    <row r="261" spans="4:9" x14ac:dyDescent="0.25">
      <c r="D261" s="5"/>
      <c r="E261" s="5"/>
      <c r="F261" s="5"/>
      <c r="G261" s="5"/>
      <c r="H261" s="5"/>
      <c r="I261" s="42"/>
    </row>
    <row r="262" spans="4:9" x14ac:dyDescent="0.25">
      <c r="D262" s="5"/>
      <c r="E262" s="5"/>
      <c r="F262" s="5"/>
      <c r="G262" s="5"/>
      <c r="H262" s="5"/>
      <c r="I262" s="42"/>
    </row>
    <row r="263" spans="4:9" x14ac:dyDescent="0.25">
      <c r="D263" s="5"/>
      <c r="E263" s="5"/>
      <c r="F263" s="5"/>
      <c r="G263" s="5"/>
      <c r="H263" s="5"/>
      <c r="I263" s="42"/>
    </row>
    <row r="264" spans="4:9" x14ac:dyDescent="0.25">
      <c r="D264" s="5"/>
      <c r="E264" s="5"/>
      <c r="F264" s="5"/>
      <c r="G264" s="5"/>
      <c r="H264" s="5"/>
      <c r="I264" s="42"/>
    </row>
    <row r="265" spans="4:9" x14ac:dyDescent="0.25">
      <c r="D265" s="5"/>
      <c r="E265" s="5"/>
      <c r="F265" s="5"/>
      <c r="G265" s="5"/>
      <c r="H265" s="5"/>
      <c r="I265" s="42"/>
    </row>
    <row r="266" spans="4:9" x14ac:dyDescent="0.25">
      <c r="D266" s="5"/>
      <c r="E266" s="5"/>
      <c r="F266" s="5"/>
      <c r="G266" s="5"/>
      <c r="H266" s="5"/>
      <c r="I266" s="42"/>
    </row>
    <row r="267" spans="4:9" x14ac:dyDescent="0.25">
      <c r="D267" s="5"/>
      <c r="E267" s="5"/>
      <c r="F267" s="5"/>
      <c r="G267" s="5"/>
      <c r="H267" s="5"/>
      <c r="I267" s="42"/>
    </row>
    <row r="268" spans="4:9" x14ac:dyDescent="0.25">
      <c r="D268" s="5"/>
      <c r="E268" s="5"/>
      <c r="F268" s="5"/>
      <c r="G268" s="5"/>
      <c r="H268" s="5"/>
      <c r="I268" s="42"/>
    </row>
    <row r="269" spans="4:9" x14ac:dyDescent="0.25">
      <c r="D269" s="5"/>
      <c r="E269" s="5"/>
      <c r="F269" s="5"/>
      <c r="G269" s="5"/>
      <c r="H269" s="5"/>
      <c r="I269" s="42"/>
    </row>
    <row r="270" spans="4:9" x14ac:dyDescent="0.25">
      <c r="D270" s="5"/>
      <c r="E270" s="5"/>
      <c r="F270" s="5"/>
      <c r="G270" s="5"/>
      <c r="H270" s="5"/>
      <c r="I270" s="42"/>
    </row>
    <row r="271" spans="4:9" x14ac:dyDescent="0.25">
      <c r="D271" s="5"/>
      <c r="E271" s="5"/>
      <c r="F271" s="5"/>
      <c r="G271" s="5"/>
      <c r="H271" s="5"/>
      <c r="I271" s="42"/>
    </row>
    <row r="272" spans="4:9" x14ac:dyDescent="0.25">
      <c r="D272" s="5"/>
      <c r="E272" s="5"/>
      <c r="F272" s="5"/>
      <c r="G272" s="5"/>
      <c r="H272" s="5"/>
      <c r="I272" s="42"/>
    </row>
    <row r="273" spans="4:9" x14ac:dyDescent="0.25">
      <c r="D273" s="5"/>
      <c r="E273" s="5"/>
      <c r="F273" s="5"/>
      <c r="G273" s="5"/>
      <c r="H273" s="5"/>
      <c r="I273" s="42"/>
    </row>
    <row r="274" spans="4:9" x14ac:dyDescent="0.25">
      <c r="D274" s="5"/>
      <c r="E274" s="5"/>
      <c r="F274" s="5"/>
      <c r="G274" s="5"/>
      <c r="H274" s="5"/>
      <c r="I274" s="42"/>
    </row>
    <row r="275" spans="4:9" x14ac:dyDescent="0.25">
      <c r="D275" s="5"/>
      <c r="E275" s="5"/>
      <c r="F275" s="5"/>
      <c r="G275" s="5"/>
      <c r="H275" s="5"/>
      <c r="I275" s="42"/>
    </row>
    <row r="276" spans="4:9" x14ac:dyDescent="0.25">
      <c r="D276" s="5"/>
      <c r="E276" s="5"/>
      <c r="F276" s="5"/>
      <c r="G276" s="5"/>
      <c r="H276" s="5"/>
      <c r="I276" s="42"/>
    </row>
    <row r="277" spans="4:9" x14ac:dyDescent="0.25">
      <c r="D277" s="5"/>
      <c r="E277" s="5"/>
      <c r="F277" s="5"/>
      <c r="G277" s="5"/>
      <c r="H277" s="5"/>
      <c r="I277" s="42"/>
    </row>
    <row r="278" spans="4:9" x14ac:dyDescent="0.25">
      <c r="D278" s="5"/>
      <c r="E278" s="5"/>
      <c r="F278" s="5"/>
      <c r="G278" s="5"/>
      <c r="H278" s="5"/>
      <c r="I278" s="42"/>
    </row>
    <row r="279" spans="4:9" x14ac:dyDescent="0.25">
      <c r="D279" s="5"/>
      <c r="E279" s="5"/>
      <c r="F279" s="5"/>
      <c r="G279" s="5"/>
      <c r="H279" s="5"/>
      <c r="I279" s="42"/>
    </row>
    <row r="280" spans="4:9" x14ac:dyDescent="0.25">
      <c r="D280" s="5"/>
      <c r="E280" s="5"/>
      <c r="F280" s="5"/>
      <c r="G280" s="5"/>
      <c r="H280" s="5"/>
      <c r="I280" s="42"/>
    </row>
    <row r="281" spans="4:9" x14ac:dyDescent="0.25">
      <c r="D281" s="5"/>
      <c r="E281" s="5"/>
      <c r="F281" s="5"/>
      <c r="G281" s="5"/>
      <c r="H281" s="5"/>
      <c r="I281" s="42"/>
    </row>
    <row r="282" spans="4:9" x14ac:dyDescent="0.25">
      <c r="D282" s="5"/>
      <c r="E282" s="5"/>
      <c r="F282" s="5"/>
      <c r="G282" s="5"/>
      <c r="H282" s="5"/>
      <c r="I282" s="42"/>
    </row>
    <row r="283" spans="4:9" x14ac:dyDescent="0.25">
      <c r="D283" s="5"/>
      <c r="E283" s="5"/>
      <c r="F283" s="5"/>
      <c r="G283" s="5"/>
      <c r="H283" s="5"/>
      <c r="I283" s="42"/>
    </row>
    <row r="284" spans="4:9" x14ac:dyDescent="0.25">
      <c r="D284" s="5"/>
      <c r="E284" s="5"/>
      <c r="F284" s="5"/>
      <c r="G284" s="5"/>
      <c r="H284" s="5"/>
      <c r="I284" s="42"/>
    </row>
    <row r="285" spans="4:9" x14ac:dyDescent="0.25">
      <c r="D285" s="5"/>
      <c r="E285" s="5"/>
      <c r="F285" s="5"/>
      <c r="G285" s="5"/>
      <c r="H285" s="5"/>
      <c r="I285" s="42"/>
    </row>
    <row r="286" spans="4:9" x14ac:dyDescent="0.25">
      <c r="D286" s="5"/>
      <c r="E286" s="5"/>
      <c r="F286" s="5"/>
      <c r="G286" s="5"/>
      <c r="H286" s="5"/>
      <c r="I286" s="42"/>
    </row>
    <row r="287" spans="4:9" x14ac:dyDescent="0.25">
      <c r="D287" s="5"/>
      <c r="E287" s="5"/>
      <c r="F287" s="5"/>
      <c r="G287" s="5"/>
      <c r="H287" s="5"/>
      <c r="I287" s="42"/>
    </row>
    <row r="288" spans="4:9" x14ac:dyDescent="0.25">
      <c r="D288" s="5"/>
      <c r="E288" s="5"/>
      <c r="F288" s="5"/>
      <c r="G288" s="5"/>
      <c r="H288" s="5"/>
      <c r="I288" s="42"/>
    </row>
    <row r="289" spans="4:9" x14ac:dyDescent="0.25">
      <c r="D289" s="5"/>
      <c r="E289" s="5"/>
      <c r="F289" s="5"/>
      <c r="G289" s="5"/>
      <c r="H289" s="5"/>
      <c r="I289" s="42"/>
    </row>
    <row r="290" spans="4:9" x14ac:dyDescent="0.25">
      <c r="D290" s="5"/>
      <c r="E290" s="5"/>
      <c r="F290" s="5"/>
      <c r="G290" s="5"/>
      <c r="H290" s="5"/>
      <c r="I290" s="42"/>
    </row>
    <row r="291" spans="4:9" x14ac:dyDescent="0.25">
      <c r="D291" s="5"/>
      <c r="E291" s="5"/>
      <c r="F291" s="5"/>
      <c r="G291" s="5"/>
      <c r="H291" s="5"/>
      <c r="I291" s="42"/>
    </row>
    <row r="292" spans="4:9" x14ac:dyDescent="0.25">
      <c r="D292" s="5"/>
      <c r="E292" s="5"/>
      <c r="F292" s="5"/>
      <c r="G292" s="5"/>
      <c r="H292" s="5"/>
      <c r="I292" s="42"/>
    </row>
    <row r="293" spans="4:9" x14ac:dyDescent="0.25">
      <c r="D293" s="5"/>
      <c r="E293" s="5"/>
      <c r="F293" s="5"/>
      <c r="G293" s="5"/>
      <c r="H293" s="5"/>
      <c r="I293" s="42"/>
    </row>
    <row r="294" spans="4:9" x14ac:dyDescent="0.25">
      <c r="D294" s="5"/>
      <c r="E294" s="5"/>
      <c r="F294" s="5"/>
      <c r="G294" s="5"/>
      <c r="H294" s="5"/>
      <c r="I294" s="42"/>
    </row>
    <row r="295" spans="4:9" x14ac:dyDescent="0.25">
      <c r="D295" s="5"/>
      <c r="E295" s="5"/>
      <c r="F295" s="5"/>
      <c r="G295" s="5"/>
      <c r="H295" s="5"/>
      <c r="I295" s="42"/>
    </row>
    <row r="296" spans="4:9" x14ac:dyDescent="0.25">
      <c r="D296" s="5"/>
      <c r="E296" s="5"/>
      <c r="F296" s="5"/>
      <c r="G296" s="5"/>
      <c r="H296" s="5"/>
      <c r="I296" s="42"/>
    </row>
    <row r="297" spans="4:9" x14ac:dyDescent="0.25">
      <c r="D297" s="5"/>
      <c r="E297" s="5"/>
      <c r="F297" s="5"/>
      <c r="G297" s="5"/>
      <c r="H297" s="5"/>
      <c r="I297" s="42"/>
    </row>
    <row r="298" spans="4:9" x14ac:dyDescent="0.25">
      <c r="D298" s="5"/>
      <c r="E298" s="5"/>
      <c r="F298" s="5"/>
      <c r="G298" s="5"/>
      <c r="H298" s="5"/>
      <c r="I298" s="42"/>
    </row>
    <row r="299" spans="4:9" x14ac:dyDescent="0.25">
      <c r="D299" s="5"/>
      <c r="E299" s="5"/>
      <c r="F299" s="5"/>
      <c r="G299" s="5"/>
      <c r="H299" s="5"/>
      <c r="I299" s="42"/>
    </row>
    <row r="300" spans="4:9" x14ac:dyDescent="0.25">
      <c r="D300" s="5"/>
      <c r="E300" s="5"/>
      <c r="F300" s="5"/>
      <c r="G300" s="5"/>
      <c r="H300" s="5"/>
      <c r="I300" s="42"/>
    </row>
    <row r="301" spans="4:9" x14ac:dyDescent="0.25">
      <c r="D301" s="5"/>
      <c r="E301" s="5"/>
      <c r="F301" s="5"/>
      <c r="G301" s="5"/>
      <c r="H301" s="5"/>
      <c r="I301" s="42"/>
    </row>
    <row r="302" spans="4:9" x14ac:dyDescent="0.25">
      <c r="D302" s="5"/>
      <c r="E302" s="5"/>
      <c r="F302" s="5"/>
      <c r="G302" s="5"/>
      <c r="H302" s="5"/>
      <c r="I302" s="42"/>
    </row>
    <row r="303" spans="4:9" x14ac:dyDescent="0.25">
      <c r="D303" s="5"/>
      <c r="E303" s="5"/>
      <c r="F303" s="5"/>
      <c r="G303" s="5"/>
      <c r="H303" s="5"/>
      <c r="I303" s="42"/>
    </row>
    <row r="304" spans="4:9" x14ac:dyDescent="0.25">
      <c r="D304" s="5"/>
      <c r="E304" s="5"/>
      <c r="F304" s="5"/>
      <c r="G304" s="5"/>
      <c r="H304" s="5"/>
      <c r="I304" s="42"/>
    </row>
    <row r="305" spans="4:9" x14ac:dyDescent="0.25">
      <c r="D305" s="5"/>
      <c r="E305" s="5"/>
      <c r="F305" s="5"/>
      <c r="G305" s="5"/>
      <c r="H305" s="5"/>
      <c r="I305" s="42"/>
    </row>
    <row r="306" spans="4:9" x14ac:dyDescent="0.25">
      <c r="D306" s="5"/>
      <c r="E306" s="5"/>
      <c r="F306" s="5"/>
      <c r="G306" s="5"/>
      <c r="H306" s="5"/>
      <c r="I306" s="42"/>
    </row>
    <row r="307" spans="4:9" x14ac:dyDescent="0.25">
      <c r="D307" s="5"/>
      <c r="E307" s="5"/>
      <c r="F307" s="5"/>
      <c r="G307" s="5"/>
      <c r="H307" s="5"/>
      <c r="I307" s="42"/>
    </row>
    <row r="308" spans="4:9" x14ac:dyDescent="0.25">
      <c r="D308" s="5"/>
      <c r="E308" s="5"/>
      <c r="F308" s="5"/>
      <c r="G308" s="5"/>
      <c r="H308" s="5"/>
      <c r="I308" s="42"/>
    </row>
    <row r="309" spans="4:9" x14ac:dyDescent="0.25">
      <c r="D309" s="5"/>
      <c r="E309" s="5"/>
      <c r="F309" s="5"/>
      <c r="G309" s="5"/>
      <c r="H309" s="5"/>
      <c r="I309" s="42"/>
    </row>
    <row r="310" spans="4:9" x14ac:dyDescent="0.25">
      <c r="D310" s="5"/>
      <c r="E310" s="5"/>
      <c r="F310" s="5"/>
      <c r="G310" s="5"/>
      <c r="H310" s="5"/>
      <c r="I310" s="42"/>
    </row>
    <row r="311" spans="4:9" x14ac:dyDescent="0.25">
      <c r="D311" s="5"/>
      <c r="E311" s="5"/>
      <c r="F311" s="5"/>
      <c r="G311" s="5"/>
      <c r="H311" s="5"/>
      <c r="I311" s="42"/>
    </row>
    <row r="312" spans="4:9" x14ac:dyDescent="0.25">
      <c r="D312" s="5"/>
      <c r="E312" s="5"/>
      <c r="F312" s="5"/>
      <c r="G312" s="5"/>
      <c r="H312" s="5"/>
      <c r="I312" s="42"/>
    </row>
    <row r="313" spans="4:9" x14ac:dyDescent="0.25">
      <c r="D313" s="5"/>
      <c r="E313" s="5"/>
      <c r="F313" s="5"/>
      <c r="G313" s="5"/>
      <c r="H313" s="5"/>
      <c r="I313" s="42"/>
    </row>
    <row r="314" spans="4:9" x14ac:dyDescent="0.25">
      <c r="D314" s="5"/>
      <c r="E314" s="5"/>
      <c r="F314" s="5"/>
      <c r="G314" s="5"/>
      <c r="H314" s="5"/>
      <c r="I314" s="42"/>
    </row>
    <row r="315" spans="4:9" x14ac:dyDescent="0.25">
      <c r="D315" s="5"/>
      <c r="E315" s="5"/>
      <c r="F315" s="5"/>
      <c r="G315" s="5"/>
      <c r="H315" s="5"/>
      <c r="I315" s="42"/>
    </row>
    <row r="316" spans="4:9" x14ac:dyDescent="0.25">
      <c r="D316" s="5"/>
      <c r="E316" s="5"/>
      <c r="F316" s="5"/>
      <c r="G316" s="5"/>
      <c r="H316" s="5"/>
      <c r="I316" s="42"/>
    </row>
    <row r="317" spans="4:9" x14ac:dyDescent="0.25">
      <c r="D317" s="5"/>
      <c r="E317" s="5"/>
      <c r="F317" s="5"/>
      <c r="G317" s="5"/>
      <c r="H317" s="5"/>
      <c r="I317" s="42"/>
    </row>
    <row r="318" spans="4:9" x14ac:dyDescent="0.25">
      <c r="D318" s="5"/>
      <c r="E318" s="5"/>
      <c r="F318" s="5"/>
      <c r="G318" s="5"/>
      <c r="H318" s="5"/>
      <c r="I318" s="42"/>
    </row>
    <row r="319" spans="4:9" x14ac:dyDescent="0.25">
      <c r="D319" s="5"/>
      <c r="E319" s="5"/>
      <c r="F319" s="5"/>
      <c r="G319" s="5"/>
      <c r="H319" s="5"/>
      <c r="I319" s="42"/>
    </row>
    <row r="320" spans="4:9" x14ac:dyDescent="0.25">
      <c r="D320" s="5"/>
      <c r="E320" s="5"/>
      <c r="F320" s="5"/>
      <c r="G320" s="5"/>
      <c r="H320" s="5"/>
      <c r="I320" s="42"/>
    </row>
    <row r="321" spans="4:9" x14ac:dyDescent="0.25">
      <c r="D321" s="5"/>
      <c r="E321" s="5"/>
      <c r="F321" s="5"/>
      <c r="G321" s="5"/>
      <c r="H321" s="5"/>
      <c r="I321" s="42"/>
    </row>
    <row r="322" spans="4:9" x14ac:dyDescent="0.25">
      <c r="D322" s="5"/>
      <c r="E322" s="5"/>
      <c r="F322" s="5"/>
      <c r="G322" s="5"/>
      <c r="H322" s="5"/>
      <c r="I322" s="42"/>
    </row>
    <row r="323" spans="4:9" x14ac:dyDescent="0.25">
      <c r="D323" s="5"/>
      <c r="E323" s="5"/>
      <c r="F323" s="5"/>
      <c r="G323" s="5"/>
      <c r="H323" s="5"/>
      <c r="I323" s="42"/>
    </row>
    <row r="324" spans="4:9" x14ac:dyDescent="0.25">
      <c r="D324" s="5"/>
      <c r="E324" s="5"/>
      <c r="F324" s="5"/>
      <c r="G324" s="5"/>
      <c r="H324" s="5"/>
      <c r="I324" s="42"/>
    </row>
    <row r="325" spans="4:9" x14ac:dyDescent="0.25">
      <c r="D325" s="5"/>
      <c r="E325" s="5"/>
      <c r="F325" s="5"/>
      <c r="G325" s="5"/>
      <c r="H325" s="5"/>
      <c r="I325" s="42"/>
    </row>
    <row r="326" spans="4:9" x14ac:dyDescent="0.25">
      <c r="D326" s="5"/>
      <c r="E326" s="5"/>
      <c r="F326" s="5"/>
      <c r="G326" s="5"/>
      <c r="H326" s="5"/>
      <c r="I326" s="42"/>
    </row>
    <row r="327" spans="4:9" x14ac:dyDescent="0.25">
      <c r="D327" s="5"/>
      <c r="E327" s="5"/>
      <c r="F327" s="5"/>
      <c r="G327" s="5"/>
      <c r="H327" s="5"/>
      <c r="I327" s="42"/>
    </row>
    <row r="328" spans="4:9" x14ac:dyDescent="0.25">
      <c r="D328" s="5"/>
      <c r="E328" s="5"/>
      <c r="F328" s="5"/>
      <c r="G328" s="5"/>
      <c r="H328" s="5"/>
      <c r="I328" s="42"/>
    </row>
    <row r="329" spans="4:9" x14ac:dyDescent="0.25">
      <c r="D329" s="5"/>
      <c r="E329" s="5"/>
      <c r="F329" s="5"/>
      <c r="G329" s="5"/>
      <c r="H329" s="5"/>
      <c r="I329" s="42"/>
    </row>
    <row r="330" spans="4:9" x14ac:dyDescent="0.25">
      <c r="D330" s="5"/>
      <c r="E330" s="5"/>
      <c r="F330" s="5"/>
      <c r="G330" s="5"/>
      <c r="H330" s="5"/>
      <c r="I330" s="42"/>
    </row>
    <row r="331" spans="4:9" x14ac:dyDescent="0.25">
      <c r="D331" s="5"/>
      <c r="E331" s="5"/>
      <c r="F331" s="5"/>
      <c r="G331" s="5"/>
      <c r="H331" s="5"/>
      <c r="I331" s="42"/>
    </row>
    <row r="332" spans="4:9" x14ac:dyDescent="0.25">
      <c r="D332" s="5"/>
      <c r="E332" s="5"/>
      <c r="F332" s="5"/>
      <c r="G332" s="5"/>
      <c r="H332" s="5"/>
      <c r="I332" s="42"/>
    </row>
    <row r="333" spans="4:9" x14ac:dyDescent="0.25">
      <c r="D333" s="5"/>
      <c r="E333" s="5"/>
      <c r="F333" s="5"/>
      <c r="G333" s="5"/>
      <c r="H333" s="5"/>
      <c r="I333" s="42"/>
    </row>
    <row r="334" spans="4:9" x14ac:dyDescent="0.25">
      <c r="D334" s="5"/>
      <c r="E334" s="5"/>
      <c r="F334" s="5"/>
      <c r="G334" s="5"/>
      <c r="H334" s="5"/>
      <c r="I334" s="42"/>
    </row>
    <row r="335" spans="4:9" x14ac:dyDescent="0.25">
      <c r="D335" s="5"/>
      <c r="E335" s="5"/>
      <c r="F335" s="5"/>
      <c r="G335" s="5"/>
      <c r="H335" s="5"/>
      <c r="I335" s="42"/>
    </row>
    <row r="336" spans="4:9" x14ac:dyDescent="0.25">
      <c r="D336" s="5"/>
      <c r="E336" s="5"/>
      <c r="F336" s="5"/>
      <c r="G336" s="5"/>
      <c r="H336" s="5"/>
      <c r="I336" s="42"/>
    </row>
    <row r="337" spans="4:9" x14ac:dyDescent="0.25">
      <c r="D337" s="5"/>
      <c r="E337" s="5"/>
      <c r="F337" s="5"/>
      <c r="G337" s="5"/>
      <c r="H337" s="5"/>
      <c r="I337" s="42"/>
    </row>
    <row r="338" spans="4:9" x14ac:dyDescent="0.25">
      <c r="D338" s="5"/>
      <c r="E338" s="5"/>
      <c r="F338" s="5"/>
      <c r="G338" s="5"/>
      <c r="H338" s="5"/>
      <c r="I338" s="42"/>
    </row>
    <row r="339" spans="4:9" x14ac:dyDescent="0.25">
      <c r="D339" s="5"/>
      <c r="E339" s="5"/>
      <c r="F339" s="5"/>
      <c r="G339" s="5"/>
      <c r="H339" s="5"/>
      <c r="I339" s="42"/>
    </row>
    <row r="340" spans="4:9" x14ac:dyDescent="0.25">
      <c r="D340" s="5"/>
      <c r="E340" s="5"/>
      <c r="F340" s="5"/>
      <c r="G340" s="5"/>
      <c r="H340" s="5"/>
      <c r="I340" s="42"/>
    </row>
    <row r="341" spans="4:9" x14ac:dyDescent="0.25">
      <c r="D341" s="5"/>
      <c r="E341" s="5"/>
      <c r="F341" s="5"/>
      <c r="G341" s="5"/>
      <c r="H341" s="5"/>
      <c r="I341" s="42"/>
    </row>
    <row r="342" spans="4:9" x14ac:dyDescent="0.25">
      <c r="D342" s="5"/>
      <c r="E342" s="5"/>
      <c r="F342" s="5"/>
      <c r="G342" s="5"/>
      <c r="H342" s="5"/>
      <c r="I342" s="42"/>
    </row>
    <row r="343" spans="4:9" x14ac:dyDescent="0.25">
      <c r="D343" s="5"/>
      <c r="E343" s="5"/>
      <c r="F343" s="5"/>
      <c r="G343" s="5"/>
      <c r="H343" s="5"/>
      <c r="I343" s="42"/>
    </row>
    <row r="344" spans="4:9" x14ac:dyDescent="0.25">
      <c r="D344" s="5"/>
      <c r="E344" s="5"/>
      <c r="F344" s="5"/>
      <c r="G344" s="5"/>
      <c r="H344" s="5"/>
      <c r="I344" s="42"/>
    </row>
    <row r="345" spans="4:9" x14ac:dyDescent="0.25">
      <c r="D345" s="5"/>
      <c r="E345" s="5"/>
      <c r="F345" s="5"/>
      <c r="G345" s="5"/>
      <c r="H345" s="5"/>
      <c r="I345" s="42"/>
    </row>
    <row r="346" spans="4:9" x14ac:dyDescent="0.25">
      <c r="D346" s="5"/>
      <c r="E346" s="5"/>
      <c r="F346" s="5"/>
      <c r="G346" s="5"/>
      <c r="H346" s="5"/>
      <c r="I346" s="42"/>
    </row>
    <row r="347" spans="4:9" x14ac:dyDescent="0.25">
      <c r="D347" s="5"/>
      <c r="E347" s="5"/>
      <c r="F347" s="5"/>
      <c r="G347" s="5"/>
      <c r="H347" s="5"/>
      <c r="I347" s="42"/>
    </row>
    <row r="348" spans="4:9" x14ac:dyDescent="0.25">
      <c r="D348" s="5"/>
      <c r="E348" s="5"/>
      <c r="F348" s="5"/>
      <c r="G348" s="5"/>
      <c r="H348" s="5"/>
      <c r="I348" s="42"/>
    </row>
    <row r="349" spans="4:9" x14ac:dyDescent="0.25">
      <c r="D349" s="5"/>
      <c r="E349" s="5"/>
      <c r="F349" s="5"/>
      <c r="G349" s="5"/>
      <c r="H349" s="5"/>
      <c r="I349" s="42"/>
    </row>
    <row r="350" spans="4:9" x14ac:dyDescent="0.25">
      <c r="D350" s="5"/>
      <c r="E350" s="5"/>
      <c r="F350" s="5"/>
      <c r="G350" s="5"/>
      <c r="H350" s="5"/>
      <c r="I350" s="42"/>
    </row>
    <row r="351" spans="4:9" x14ac:dyDescent="0.25">
      <c r="D351" s="5"/>
      <c r="E351" s="5"/>
      <c r="F351" s="5"/>
      <c r="G351" s="5"/>
      <c r="H351" s="5"/>
      <c r="I351" s="42"/>
    </row>
    <row r="352" spans="4:9" x14ac:dyDescent="0.25">
      <c r="D352" s="5"/>
      <c r="E352" s="5"/>
      <c r="F352" s="5"/>
      <c r="G352" s="5"/>
      <c r="H352" s="5"/>
      <c r="I352" s="42"/>
    </row>
    <row r="353" spans="4:9" x14ac:dyDescent="0.25">
      <c r="D353" s="5"/>
      <c r="E353" s="5"/>
      <c r="F353" s="5"/>
      <c r="G353" s="5"/>
      <c r="H353" s="5"/>
      <c r="I353" s="42"/>
    </row>
    <row r="354" spans="4:9" x14ac:dyDescent="0.25">
      <c r="D354" s="5"/>
      <c r="E354" s="5"/>
      <c r="F354" s="5"/>
      <c r="G354" s="5"/>
      <c r="H354" s="5"/>
      <c r="I354" s="42"/>
    </row>
    <row r="355" spans="4:9" x14ac:dyDescent="0.25">
      <c r="D355" s="5"/>
      <c r="E355" s="5"/>
      <c r="F355" s="5"/>
      <c r="G355" s="5"/>
      <c r="H355" s="5"/>
      <c r="I355" s="42"/>
    </row>
    <row r="356" spans="4:9" x14ac:dyDescent="0.25">
      <c r="D356" s="5"/>
      <c r="E356" s="5"/>
      <c r="F356" s="5"/>
      <c r="G356" s="5"/>
      <c r="H356" s="5"/>
      <c r="I356" s="42"/>
    </row>
    <row r="357" spans="4:9" x14ac:dyDescent="0.25">
      <c r="D357" s="5"/>
      <c r="E357" s="5"/>
      <c r="F357" s="5"/>
      <c r="G357" s="5"/>
      <c r="H357" s="5"/>
      <c r="I357" s="42"/>
    </row>
    <row r="358" spans="4:9" x14ac:dyDescent="0.25">
      <c r="D358" s="5"/>
      <c r="E358" s="5"/>
      <c r="F358" s="5"/>
      <c r="G358" s="5"/>
      <c r="H358" s="5"/>
      <c r="I358" s="42"/>
    </row>
    <row r="359" spans="4:9" x14ac:dyDescent="0.25">
      <c r="D359" s="5"/>
      <c r="E359" s="5"/>
      <c r="F359" s="5"/>
      <c r="G359" s="5"/>
      <c r="H359" s="5"/>
      <c r="I359" s="42"/>
    </row>
    <row r="360" spans="4:9" x14ac:dyDescent="0.25">
      <c r="D360" s="5"/>
      <c r="E360" s="5"/>
      <c r="F360" s="5"/>
      <c r="G360" s="5"/>
      <c r="H360" s="5"/>
      <c r="I360" s="42"/>
    </row>
    <row r="361" spans="4:9" x14ac:dyDescent="0.25">
      <c r="D361" s="5"/>
      <c r="E361" s="5"/>
      <c r="F361" s="5"/>
      <c r="G361" s="5"/>
      <c r="H361" s="5"/>
      <c r="I361" s="42"/>
    </row>
    <row r="362" spans="4:9" x14ac:dyDescent="0.25">
      <c r="D362" s="5"/>
      <c r="E362" s="5"/>
      <c r="F362" s="5"/>
      <c r="G362" s="5"/>
      <c r="H362" s="5"/>
      <c r="I362" s="42"/>
    </row>
    <row r="363" spans="4:9" x14ac:dyDescent="0.25">
      <c r="D363" s="5"/>
      <c r="E363" s="5"/>
      <c r="F363" s="5"/>
      <c r="G363" s="5"/>
      <c r="H363" s="5"/>
      <c r="I363" s="42"/>
    </row>
    <row r="364" spans="4:9" x14ac:dyDescent="0.25">
      <c r="D364" s="5"/>
      <c r="E364" s="5"/>
      <c r="F364" s="5"/>
      <c r="G364" s="5"/>
      <c r="H364" s="5"/>
      <c r="I364" s="42"/>
    </row>
    <row r="365" spans="4:9" x14ac:dyDescent="0.25">
      <c r="D365" s="5"/>
      <c r="E365" s="5"/>
      <c r="F365" s="5"/>
      <c r="G365" s="5"/>
      <c r="H365" s="5"/>
      <c r="I365" s="42"/>
    </row>
    <row r="366" spans="4:9" x14ac:dyDescent="0.25">
      <c r="D366" s="5"/>
      <c r="E366" s="5"/>
      <c r="F366" s="5"/>
      <c r="G366" s="5"/>
      <c r="H366" s="5"/>
      <c r="I366" s="42"/>
    </row>
    <row r="367" spans="4:9" x14ac:dyDescent="0.25">
      <c r="D367" s="5"/>
      <c r="E367" s="5"/>
      <c r="F367" s="5"/>
      <c r="G367" s="5"/>
      <c r="H367" s="5"/>
      <c r="I367" s="42"/>
    </row>
    <row r="368" spans="4:9" x14ac:dyDescent="0.25">
      <c r="D368" s="5"/>
      <c r="E368" s="5"/>
      <c r="F368" s="5"/>
      <c r="G368" s="5"/>
      <c r="H368" s="5"/>
      <c r="I368" s="42"/>
    </row>
    <row r="369" spans="4:9" x14ac:dyDescent="0.25">
      <c r="D369" s="5"/>
      <c r="E369" s="5"/>
      <c r="F369" s="5"/>
      <c r="G369" s="5"/>
      <c r="H369" s="5"/>
      <c r="I369" s="42"/>
    </row>
    <row r="370" spans="4:9" x14ac:dyDescent="0.25">
      <c r="D370" s="5"/>
      <c r="E370" s="5"/>
      <c r="F370" s="5"/>
      <c r="G370" s="5"/>
      <c r="H370" s="5"/>
      <c r="I370" s="42"/>
    </row>
    <row r="371" spans="4:9" x14ac:dyDescent="0.25">
      <c r="D371" s="5"/>
      <c r="E371" s="5"/>
      <c r="F371" s="5"/>
      <c r="G371" s="5"/>
      <c r="H371" s="5"/>
      <c r="I371" s="42"/>
    </row>
    <row r="372" spans="4:9" x14ac:dyDescent="0.25">
      <c r="D372" s="5"/>
      <c r="E372" s="5"/>
      <c r="F372" s="5"/>
      <c r="G372" s="5"/>
      <c r="H372" s="5"/>
      <c r="I372" s="42"/>
    </row>
    <row r="373" spans="4:9" x14ac:dyDescent="0.25">
      <c r="D373" s="5"/>
      <c r="E373" s="5"/>
      <c r="F373" s="5"/>
      <c r="G373" s="5"/>
      <c r="H373" s="5"/>
      <c r="I373" s="42"/>
    </row>
    <row r="374" spans="4:9" x14ac:dyDescent="0.25">
      <c r="D374" s="5"/>
      <c r="E374" s="5"/>
      <c r="F374" s="5"/>
      <c r="G374" s="5"/>
      <c r="H374" s="5"/>
      <c r="I374" s="42"/>
    </row>
    <row r="375" spans="4:9" x14ac:dyDescent="0.25">
      <c r="D375" s="5"/>
      <c r="E375" s="5"/>
      <c r="F375" s="5"/>
      <c r="G375" s="5"/>
      <c r="H375" s="5"/>
      <c r="I375" s="42"/>
    </row>
    <row r="376" spans="4:9" x14ac:dyDescent="0.25">
      <c r="D376" s="5"/>
      <c r="E376" s="5"/>
      <c r="F376" s="5"/>
      <c r="G376" s="5"/>
      <c r="H376" s="5"/>
      <c r="I376" s="42"/>
    </row>
    <row r="377" spans="4:9" x14ac:dyDescent="0.25">
      <c r="D377" s="5"/>
      <c r="E377" s="5"/>
      <c r="F377" s="5"/>
      <c r="G377" s="5"/>
      <c r="H377" s="5"/>
      <c r="I377" s="42"/>
    </row>
    <row r="378" spans="4:9" x14ac:dyDescent="0.25">
      <c r="D378" s="5"/>
      <c r="E378" s="5"/>
      <c r="F378" s="5"/>
      <c r="G378" s="5"/>
      <c r="H378" s="5"/>
      <c r="I378" s="42"/>
    </row>
    <row r="379" spans="4:9" x14ac:dyDescent="0.25">
      <c r="D379" s="5"/>
      <c r="E379" s="5"/>
      <c r="F379" s="5"/>
      <c r="G379" s="5"/>
      <c r="H379" s="5"/>
      <c r="I379" s="42"/>
    </row>
    <row r="380" spans="4:9" x14ac:dyDescent="0.25">
      <c r="D380" s="5"/>
      <c r="E380" s="5"/>
      <c r="F380" s="5"/>
      <c r="G380" s="5"/>
      <c r="H380" s="5"/>
      <c r="I380" s="42"/>
    </row>
    <row r="381" spans="4:9" x14ac:dyDescent="0.25">
      <c r="D381" s="5"/>
      <c r="E381" s="5"/>
      <c r="F381" s="5"/>
      <c r="G381" s="5"/>
      <c r="H381" s="5"/>
      <c r="I381" s="42"/>
    </row>
    <row r="382" spans="4:9" x14ac:dyDescent="0.25">
      <c r="D382" s="5"/>
      <c r="E382" s="5"/>
      <c r="F382" s="5"/>
      <c r="G382" s="5"/>
      <c r="H382" s="5"/>
      <c r="I382" s="42"/>
    </row>
    <row r="383" spans="4:9" x14ac:dyDescent="0.25">
      <c r="D383" s="5"/>
      <c r="E383" s="5"/>
      <c r="F383" s="5"/>
      <c r="G383" s="5"/>
      <c r="H383" s="5"/>
      <c r="I383" s="42"/>
    </row>
    <row r="384" spans="4:9" x14ac:dyDescent="0.25">
      <c r="D384" s="5"/>
      <c r="E384" s="5"/>
      <c r="F384" s="5"/>
      <c r="G384" s="5"/>
      <c r="H384" s="5"/>
      <c r="I384" s="42"/>
    </row>
    <row r="385" spans="4:9" x14ac:dyDescent="0.25">
      <c r="D385" s="5"/>
      <c r="E385" s="5"/>
      <c r="F385" s="5"/>
      <c r="G385" s="5"/>
      <c r="H385" s="5"/>
      <c r="I385" s="42"/>
    </row>
    <row r="386" spans="4:9" x14ac:dyDescent="0.25">
      <c r="D386" s="5"/>
      <c r="E386" s="5"/>
      <c r="F386" s="5"/>
      <c r="G386" s="5"/>
      <c r="H386" s="5"/>
      <c r="I386" s="42"/>
    </row>
    <row r="387" spans="4:9" x14ac:dyDescent="0.25">
      <c r="D387" s="5"/>
      <c r="E387" s="5"/>
      <c r="F387" s="5"/>
      <c r="G387" s="5"/>
      <c r="H387" s="5"/>
      <c r="I387" s="42"/>
    </row>
    <row r="388" spans="4:9" x14ac:dyDescent="0.25">
      <c r="D388" s="5"/>
      <c r="E388" s="5"/>
      <c r="F388" s="5"/>
      <c r="G388" s="5"/>
      <c r="H388" s="5"/>
      <c r="I388" s="42"/>
    </row>
    <row r="389" spans="4:9" x14ac:dyDescent="0.25">
      <c r="D389" s="5"/>
      <c r="E389" s="5"/>
      <c r="F389" s="5"/>
      <c r="G389" s="5"/>
      <c r="H389" s="5"/>
      <c r="I389" s="42"/>
    </row>
    <row r="390" spans="4:9" x14ac:dyDescent="0.25">
      <c r="D390" s="5"/>
      <c r="E390" s="5"/>
      <c r="F390" s="5"/>
      <c r="G390" s="5"/>
      <c r="H390" s="5"/>
      <c r="I390" s="42"/>
    </row>
    <row r="391" spans="4:9" x14ac:dyDescent="0.25">
      <c r="D391" s="5"/>
      <c r="E391" s="5"/>
      <c r="F391" s="5"/>
      <c r="G391" s="5"/>
      <c r="H391" s="5"/>
      <c r="I391" s="42"/>
    </row>
    <row r="392" spans="4:9" x14ac:dyDescent="0.25">
      <c r="D392" s="5"/>
      <c r="E392" s="5"/>
      <c r="F392" s="5"/>
      <c r="G392" s="5"/>
      <c r="H392" s="5"/>
      <c r="I392" s="42"/>
    </row>
    <row r="393" spans="4:9" x14ac:dyDescent="0.25">
      <c r="D393" s="5"/>
      <c r="E393" s="5"/>
      <c r="F393" s="5"/>
      <c r="G393" s="5"/>
      <c r="H393" s="5"/>
      <c r="I393" s="42"/>
    </row>
    <row r="394" spans="4:9" x14ac:dyDescent="0.25">
      <c r="D394" s="5"/>
      <c r="E394" s="5"/>
      <c r="F394" s="5"/>
      <c r="G394" s="5"/>
      <c r="H394" s="5"/>
      <c r="I394" s="42"/>
    </row>
    <row r="395" spans="4:9" x14ac:dyDescent="0.25">
      <c r="D395" s="5"/>
      <c r="E395" s="5"/>
      <c r="F395" s="5"/>
      <c r="G395" s="5"/>
      <c r="H395" s="5"/>
      <c r="I395" s="42"/>
    </row>
    <row r="396" spans="4:9" x14ac:dyDescent="0.25">
      <c r="D396" s="5"/>
      <c r="E396" s="5"/>
      <c r="F396" s="5"/>
      <c r="G396" s="5"/>
      <c r="H396" s="5"/>
      <c r="I396" s="42"/>
    </row>
    <row r="397" spans="4:9" x14ac:dyDescent="0.25">
      <c r="F397" s="5"/>
      <c r="G397" s="5"/>
      <c r="H397" s="5"/>
      <c r="I397" s="42"/>
    </row>
    <row r="398" spans="4:9" x14ac:dyDescent="0.25">
      <c r="F398" s="5"/>
      <c r="G398" s="5"/>
      <c r="H398" s="5"/>
      <c r="I398" s="42"/>
    </row>
    <row r="399" spans="4:9" x14ac:dyDescent="0.25">
      <c r="F399" s="5"/>
      <c r="G399" s="5"/>
      <c r="H399" s="5"/>
      <c r="I399" s="42"/>
    </row>
    <row r="400" spans="4:9" x14ac:dyDescent="0.25">
      <c r="F400" s="5"/>
      <c r="G400" s="5"/>
      <c r="H400" s="5"/>
      <c r="I400" s="42"/>
    </row>
    <row r="401" spans="6:9" x14ac:dyDescent="0.25">
      <c r="F401" s="5"/>
      <c r="G401" s="5"/>
      <c r="H401" s="5"/>
      <c r="I401" s="42"/>
    </row>
    <row r="402" spans="6:9" x14ac:dyDescent="0.25">
      <c r="F402" s="5"/>
      <c r="G402" s="5"/>
      <c r="H402" s="5"/>
      <c r="I402" s="42"/>
    </row>
    <row r="403" spans="6:9" x14ac:dyDescent="0.25">
      <c r="F403" s="5"/>
      <c r="G403" s="5"/>
      <c r="H403" s="5"/>
      <c r="I403" s="42"/>
    </row>
    <row r="404" spans="6:9" x14ac:dyDescent="0.25">
      <c r="F404" s="5"/>
      <c r="G404" s="5"/>
      <c r="H404" s="5"/>
      <c r="I404" s="42"/>
    </row>
  </sheetData>
  <mergeCells count="42">
    <mergeCell ref="B170:E170"/>
    <mergeCell ref="B194:E194"/>
    <mergeCell ref="B195:E195"/>
    <mergeCell ref="A173:I173"/>
    <mergeCell ref="A182:I182"/>
    <mergeCell ref="A190:I190"/>
    <mergeCell ref="B180:E180"/>
    <mergeCell ref="B188:E188"/>
    <mergeCell ref="B187:E187"/>
    <mergeCell ref="B186:E186"/>
    <mergeCell ref="B185:E185"/>
    <mergeCell ref="B184:E184"/>
    <mergeCell ref="B183:E183"/>
    <mergeCell ref="B191:E191"/>
    <mergeCell ref="B193:E193"/>
    <mergeCell ref="A3:I3"/>
    <mergeCell ref="A14:I14"/>
    <mergeCell ref="A92:I92"/>
    <mergeCell ref="A100:I100"/>
    <mergeCell ref="B153:E153"/>
    <mergeCell ref="B154:E154"/>
    <mergeCell ref="B155:E155"/>
    <mergeCell ref="A125:I125"/>
    <mergeCell ref="A151:I151"/>
    <mergeCell ref="A157:I157"/>
    <mergeCell ref="B152:E152"/>
    <mergeCell ref="A1:I1"/>
    <mergeCell ref="B196:E196"/>
    <mergeCell ref="B158:E158"/>
    <mergeCell ref="B171:E171"/>
    <mergeCell ref="B169:E169"/>
    <mergeCell ref="B168:E168"/>
    <mergeCell ref="B167:E167"/>
    <mergeCell ref="B166:E166"/>
    <mergeCell ref="B165:E165"/>
    <mergeCell ref="B164:E164"/>
    <mergeCell ref="B163:E163"/>
    <mergeCell ref="B162:E162"/>
    <mergeCell ref="B161:E161"/>
    <mergeCell ref="B160:E160"/>
    <mergeCell ref="B159:E159"/>
    <mergeCell ref="B192:E192"/>
  </mergeCells>
  <printOptions gridLines="1"/>
  <pageMargins left="0.23622047244094491" right="0.23622047244094491" top="0.74803149606299213" bottom="0.74803149606299213" header="0.31496062992125984" footer="0.31496062992125984"/>
  <pageSetup paperSize="9" scale="60" fitToHeight="4" orientation="landscape" copies="2"/>
  <ignoredErrors>
    <ignoredError sqref="E62:F62 F63:I69 E67:E71 E73:E75 F70:H70 F71:I75"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R528"/>
  <sheetViews>
    <sheetView zoomScale="80" zoomScaleNormal="80" zoomScalePageLayoutView="80" workbookViewId="0">
      <pane ySplit="1" topLeftCell="A62" activePane="bottomLeft" state="frozen"/>
      <selection pane="bottomLeft" activeCell="D98" sqref="D98"/>
    </sheetView>
  </sheetViews>
  <sheetFormatPr baseColWidth="10" defaultColWidth="10.85546875" defaultRowHeight="15" x14ac:dyDescent="0.25"/>
  <cols>
    <col min="1" max="1" width="11.42578125" style="113" customWidth="1"/>
    <col min="2" max="2" width="33.28515625" style="72" customWidth="1"/>
    <col min="3" max="3" width="14.42578125" style="116" customWidth="1"/>
    <col min="4" max="4" width="18.28515625" style="117" customWidth="1"/>
    <col min="5" max="5" width="15.28515625" style="117" customWidth="1"/>
    <col min="6" max="6" width="16.85546875" style="117" customWidth="1"/>
    <col min="7" max="7" width="16.42578125" style="117" customWidth="1"/>
    <col min="8" max="9" width="16" style="117" customWidth="1"/>
    <col min="10" max="10" width="24.85546875" style="72" customWidth="1"/>
    <col min="11" max="11" width="5.85546875" style="71" customWidth="1"/>
    <col min="12" max="12" width="24.85546875" style="139" customWidth="1"/>
    <col min="13" max="13" width="5.85546875" style="72" customWidth="1"/>
    <col min="14" max="14" width="14" style="72" customWidth="1"/>
    <col min="15" max="15" width="16.28515625" style="72" bestFit="1" customWidth="1"/>
    <col min="16" max="16" width="15.42578125" style="72" bestFit="1" customWidth="1"/>
    <col min="17" max="17" width="15.85546875" style="72" bestFit="1" customWidth="1"/>
    <col min="18" max="18" width="15.42578125" style="72" bestFit="1" customWidth="1"/>
    <col min="19" max="16384" width="10.85546875" style="72"/>
  </cols>
  <sheetData>
    <row r="1" spans="1:18" s="103" customFormat="1" ht="60" customHeight="1" thickBot="1" x14ac:dyDescent="0.3">
      <c r="A1" s="153" t="s">
        <v>0</v>
      </c>
      <c r="B1" s="155" t="s">
        <v>1</v>
      </c>
      <c r="C1" s="205" t="s">
        <v>71</v>
      </c>
      <c r="D1" s="206" t="s">
        <v>231</v>
      </c>
      <c r="E1" s="207" t="s">
        <v>212</v>
      </c>
      <c r="F1" s="207">
        <v>2016</v>
      </c>
      <c r="G1" s="207">
        <v>2017</v>
      </c>
      <c r="H1" s="207">
        <v>2018</v>
      </c>
      <c r="I1" s="207">
        <v>2019</v>
      </c>
      <c r="J1" s="208" t="s">
        <v>232</v>
      </c>
      <c r="K1" s="118"/>
      <c r="L1" s="134" t="s">
        <v>234</v>
      </c>
      <c r="N1" s="124" t="s">
        <v>135</v>
      </c>
      <c r="O1" s="125">
        <v>2016</v>
      </c>
      <c r="P1" s="125">
        <v>2017</v>
      </c>
      <c r="Q1" s="125">
        <v>2018</v>
      </c>
      <c r="R1" s="126">
        <v>2019</v>
      </c>
    </row>
    <row r="2" spans="1:18" s="53" customFormat="1" ht="29.25" customHeight="1" x14ac:dyDescent="0.25">
      <c r="A2" s="104" t="s">
        <v>226</v>
      </c>
      <c r="B2" s="59" t="s">
        <v>205</v>
      </c>
      <c r="C2" s="105"/>
      <c r="D2" s="233"/>
      <c r="E2" s="233"/>
      <c r="F2" s="170">
        <v>1350000</v>
      </c>
      <c r="G2" s="170">
        <v>1350000</v>
      </c>
      <c r="H2" s="170">
        <v>1350000</v>
      </c>
      <c r="I2" s="170">
        <v>1850000</v>
      </c>
      <c r="J2" s="106" t="s">
        <v>233</v>
      </c>
      <c r="L2" s="135"/>
      <c r="N2" s="127">
        <v>0.19</v>
      </c>
      <c r="O2" s="128">
        <f t="shared" ref="O2:O33" si="0">ROUND($N2*F2,-3)</f>
        <v>257000</v>
      </c>
      <c r="P2" s="128">
        <f t="shared" ref="P2:P33" si="1">ROUND($N2*G2,-3)</f>
        <v>257000</v>
      </c>
      <c r="Q2" s="128">
        <f t="shared" ref="Q2:Q33" si="2">ROUND($N2*H2,-3)</f>
        <v>257000</v>
      </c>
      <c r="R2" s="129">
        <f t="shared" ref="R2:R33" si="3">ROUND($N2*I2,-3)</f>
        <v>352000</v>
      </c>
    </row>
    <row r="3" spans="1:18" s="53" customFormat="1" ht="29.25" customHeight="1" x14ac:dyDescent="0.25">
      <c r="A3" s="68" t="s">
        <v>226</v>
      </c>
      <c r="B3" s="56" t="s">
        <v>217</v>
      </c>
      <c r="C3" s="57">
        <v>19016</v>
      </c>
      <c r="D3" s="171">
        <v>216700000</v>
      </c>
      <c r="E3" s="209">
        <v>6400000</v>
      </c>
      <c r="F3" s="171">
        <v>17500000</v>
      </c>
      <c r="G3" s="171">
        <v>92500000</v>
      </c>
      <c r="H3" s="171">
        <v>71200000</v>
      </c>
      <c r="I3" s="171">
        <v>29100000</v>
      </c>
      <c r="J3" s="108"/>
      <c r="K3" s="119"/>
      <c r="L3" s="136">
        <v>806413</v>
      </c>
      <c r="N3" s="130">
        <v>0.19</v>
      </c>
      <c r="O3" s="107">
        <f t="shared" si="0"/>
        <v>3325000</v>
      </c>
      <c r="P3" s="107">
        <f t="shared" si="1"/>
        <v>17575000</v>
      </c>
      <c r="Q3" s="107">
        <f t="shared" si="2"/>
        <v>13528000</v>
      </c>
      <c r="R3" s="131">
        <f t="shared" si="3"/>
        <v>5529000</v>
      </c>
    </row>
    <row r="4" spans="1:18" s="53" customFormat="1" ht="29.25" customHeight="1" x14ac:dyDescent="0.25">
      <c r="A4" s="68" t="s">
        <v>226</v>
      </c>
      <c r="B4" s="56" t="s">
        <v>2</v>
      </c>
      <c r="C4" s="57">
        <v>19601</v>
      </c>
      <c r="D4" s="171"/>
      <c r="E4" s="209"/>
      <c r="F4" s="171">
        <v>2000000</v>
      </c>
      <c r="G4" s="171">
        <v>1500000</v>
      </c>
      <c r="H4" s="171">
        <v>1500000</v>
      </c>
      <c r="I4" s="171">
        <v>1500000</v>
      </c>
      <c r="J4" s="58" t="s">
        <v>235</v>
      </c>
      <c r="L4" s="137"/>
      <c r="N4" s="130">
        <v>0.19</v>
      </c>
      <c r="O4" s="107">
        <f t="shared" si="0"/>
        <v>380000</v>
      </c>
      <c r="P4" s="107">
        <f t="shared" si="1"/>
        <v>285000</v>
      </c>
      <c r="Q4" s="107">
        <f t="shared" si="2"/>
        <v>285000</v>
      </c>
      <c r="R4" s="131">
        <f t="shared" si="3"/>
        <v>285000</v>
      </c>
    </row>
    <row r="5" spans="1:18" s="53" customFormat="1" ht="29.25" customHeight="1" x14ac:dyDescent="0.25">
      <c r="A5" s="68" t="s">
        <v>226</v>
      </c>
      <c r="B5" s="56" t="s">
        <v>218</v>
      </c>
      <c r="C5" s="57">
        <v>19020</v>
      </c>
      <c r="D5" s="171">
        <v>2750000</v>
      </c>
      <c r="E5" s="209">
        <v>0</v>
      </c>
      <c r="F5" s="171">
        <v>1375000</v>
      </c>
      <c r="G5" s="171">
        <v>1375000</v>
      </c>
      <c r="H5" s="171">
        <v>0</v>
      </c>
      <c r="I5" s="171">
        <v>0</v>
      </c>
      <c r="J5" s="58"/>
      <c r="L5" s="137">
        <v>0</v>
      </c>
      <c r="N5" s="130">
        <v>0.19</v>
      </c>
      <c r="O5" s="107">
        <f t="shared" si="0"/>
        <v>261000</v>
      </c>
      <c r="P5" s="107">
        <f t="shared" si="1"/>
        <v>261000</v>
      </c>
      <c r="Q5" s="107">
        <f t="shared" si="2"/>
        <v>0</v>
      </c>
      <c r="R5" s="131">
        <f t="shared" si="3"/>
        <v>0</v>
      </c>
    </row>
    <row r="6" spans="1:18" s="53" customFormat="1" ht="29.25" customHeight="1" x14ac:dyDescent="0.25">
      <c r="A6" s="68" t="s">
        <v>226</v>
      </c>
      <c r="B6" s="56" t="s">
        <v>141</v>
      </c>
      <c r="C6" s="57">
        <v>19606</v>
      </c>
      <c r="D6" s="171"/>
      <c r="E6" s="209"/>
      <c r="F6" s="171">
        <v>3415000</v>
      </c>
      <c r="G6" s="171">
        <v>3711000</v>
      </c>
      <c r="H6" s="171">
        <v>4035000</v>
      </c>
      <c r="I6" s="171">
        <v>4390000</v>
      </c>
      <c r="J6" s="58" t="s">
        <v>235</v>
      </c>
      <c r="L6" s="137"/>
      <c r="N6" s="130">
        <v>0</v>
      </c>
      <c r="O6" s="107">
        <f t="shared" si="0"/>
        <v>0</v>
      </c>
      <c r="P6" s="107">
        <f t="shared" si="1"/>
        <v>0</v>
      </c>
      <c r="Q6" s="107">
        <f t="shared" si="2"/>
        <v>0</v>
      </c>
      <c r="R6" s="131">
        <f t="shared" si="3"/>
        <v>0</v>
      </c>
    </row>
    <row r="7" spans="1:18" s="53" customFormat="1" ht="29.25" customHeight="1" x14ac:dyDescent="0.25">
      <c r="A7" s="68" t="s">
        <v>226</v>
      </c>
      <c r="B7" s="211"/>
      <c r="C7" s="212"/>
      <c r="D7" s="171"/>
      <c r="E7" s="171"/>
      <c r="F7" s="171"/>
      <c r="G7" s="171"/>
      <c r="H7" s="171"/>
      <c r="I7" s="171"/>
      <c r="J7" s="58"/>
      <c r="L7" s="137"/>
      <c r="N7" s="214">
        <v>0.19</v>
      </c>
      <c r="O7" s="107">
        <f t="shared" si="0"/>
        <v>0</v>
      </c>
      <c r="P7" s="107">
        <f t="shared" si="1"/>
        <v>0</v>
      </c>
      <c r="Q7" s="107">
        <f t="shared" si="2"/>
        <v>0</v>
      </c>
      <c r="R7" s="131">
        <f t="shared" si="3"/>
        <v>0</v>
      </c>
    </row>
    <row r="8" spans="1:18" s="53" customFormat="1" ht="29.25" customHeight="1" x14ac:dyDescent="0.25">
      <c r="A8" s="68" t="s">
        <v>226</v>
      </c>
      <c r="B8" s="211"/>
      <c r="C8" s="212"/>
      <c r="D8" s="171"/>
      <c r="E8" s="171"/>
      <c r="F8" s="171"/>
      <c r="G8" s="171"/>
      <c r="H8" s="171"/>
      <c r="I8" s="171"/>
      <c r="J8" s="58"/>
      <c r="L8" s="137"/>
      <c r="N8" s="214">
        <v>0.19</v>
      </c>
      <c r="O8" s="107">
        <f t="shared" si="0"/>
        <v>0</v>
      </c>
      <c r="P8" s="107">
        <f t="shared" si="1"/>
        <v>0</v>
      </c>
      <c r="Q8" s="107">
        <f t="shared" si="2"/>
        <v>0</v>
      </c>
      <c r="R8" s="131">
        <f t="shared" si="3"/>
        <v>0</v>
      </c>
    </row>
    <row r="9" spans="1:18" s="53" customFormat="1" ht="29.25" customHeight="1" thickBot="1" x14ac:dyDescent="0.3">
      <c r="A9" s="111" t="s">
        <v>226</v>
      </c>
      <c r="B9" s="213"/>
      <c r="C9" s="213"/>
      <c r="D9" s="232"/>
      <c r="E9" s="232"/>
      <c r="F9" s="232"/>
      <c r="G9" s="232"/>
      <c r="H9" s="232"/>
      <c r="I9" s="232"/>
      <c r="J9" s="109"/>
      <c r="L9" s="210"/>
      <c r="N9" s="215">
        <v>0.19</v>
      </c>
      <c r="O9" s="112">
        <f t="shared" si="0"/>
        <v>0</v>
      </c>
      <c r="P9" s="112">
        <f t="shared" si="1"/>
        <v>0</v>
      </c>
      <c r="Q9" s="112">
        <f t="shared" si="2"/>
        <v>0</v>
      </c>
      <c r="R9" s="132">
        <f t="shared" si="3"/>
        <v>0</v>
      </c>
    </row>
    <row r="10" spans="1:18" s="53" customFormat="1" ht="29.25" customHeight="1" x14ac:dyDescent="0.25">
      <c r="A10" s="104" t="s">
        <v>3</v>
      </c>
      <c r="B10" s="59" t="s">
        <v>183</v>
      </c>
      <c r="C10" s="105">
        <v>39605</v>
      </c>
      <c r="D10" s="170">
        <v>58817000</v>
      </c>
      <c r="E10" s="233">
        <v>0</v>
      </c>
      <c r="F10" s="170">
        <v>58817000</v>
      </c>
      <c r="G10" s="170">
        <v>0</v>
      </c>
      <c r="H10" s="170">
        <v>0</v>
      </c>
      <c r="I10" s="170">
        <v>0</v>
      </c>
      <c r="J10" s="110"/>
      <c r="K10" s="120"/>
      <c r="L10" s="135">
        <v>0</v>
      </c>
      <c r="N10" s="127">
        <v>0</v>
      </c>
      <c r="O10" s="128">
        <f t="shared" si="0"/>
        <v>0</v>
      </c>
      <c r="P10" s="128">
        <f t="shared" si="1"/>
        <v>0</v>
      </c>
      <c r="Q10" s="128">
        <f t="shared" si="2"/>
        <v>0</v>
      </c>
      <c r="R10" s="129">
        <f t="shared" si="3"/>
        <v>0</v>
      </c>
    </row>
    <row r="11" spans="1:18" s="53" customFormat="1" ht="29.25" customHeight="1" x14ac:dyDescent="0.25">
      <c r="A11" s="68" t="s">
        <v>3</v>
      </c>
      <c r="B11" s="56" t="s">
        <v>148</v>
      </c>
      <c r="C11" s="57">
        <v>39068</v>
      </c>
      <c r="D11" s="171">
        <v>137444000</v>
      </c>
      <c r="E11" s="209">
        <v>120582000</v>
      </c>
      <c r="F11" s="171">
        <v>16862000</v>
      </c>
      <c r="G11" s="171">
        <v>0</v>
      </c>
      <c r="H11" s="171">
        <v>0</v>
      </c>
      <c r="I11" s="171">
        <v>0</v>
      </c>
      <c r="J11" s="108"/>
      <c r="K11" s="119"/>
      <c r="L11" s="136">
        <v>66316576</v>
      </c>
      <c r="N11" s="130">
        <v>0</v>
      </c>
      <c r="O11" s="107">
        <f t="shared" si="0"/>
        <v>0</v>
      </c>
      <c r="P11" s="107">
        <f t="shared" si="1"/>
        <v>0</v>
      </c>
      <c r="Q11" s="107">
        <f t="shared" si="2"/>
        <v>0</v>
      </c>
      <c r="R11" s="131">
        <f t="shared" si="3"/>
        <v>0</v>
      </c>
    </row>
    <row r="12" spans="1:18" s="53" customFormat="1" ht="29.25" customHeight="1" x14ac:dyDescent="0.25">
      <c r="A12" s="68" t="s">
        <v>3</v>
      </c>
      <c r="B12" s="56" t="s">
        <v>148</v>
      </c>
      <c r="C12" s="57">
        <v>39068</v>
      </c>
      <c r="D12" s="171">
        <v>137444000</v>
      </c>
      <c r="E12" s="209">
        <v>0</v>
      </c>
      <c r="F12" s="171">
        <v>68722000</v>
      </c>
      <c r="G12" s="171">
        <v>68722000</v>
      </c>
      <c r="H12" s="171">
        <v>0</v>
      </c>
      <c r="I12" s="171">
        <v>0</v>
      </c>
      <c r="J12" s="58" t="s">
        <v>4</v>
      </c>
      <c r="L12" s="137"/>
      <c r="N12" s="130">
        <v>0</v>
      </c>
      <c r="O12" s="107">
        <f t="shared" si="0"/>
        <v>0</v>
      </c>
      <c r="P12" s="107">
        <f t="shared" si="1"/>
        <v>0</v>
      </c>
      <c r="Q12" s="107">
        <f t="shared" si="2"/>
        <v>0</v>
      </c>
      <c r="R12" s="131">
        <f t="shared" si="3"/>
        <v>0</v>
      </c>
    </row>
    <row r="13" spans="1:18" s="53" customFormat="1" ht="29.25" customHeight="1" x14ac:dyDescent="0.25">
      <c r="A13" s="68" t="s">
        <v>3</v>
      </c>
      <c r="B13" s="56" t="s">
        <v>15</v>
      </c>
      <c r="C13" s="57">
        <v>39082</v>
      </c>
      <c r="D13" s="171">
        <v>124126000</v>
      </c>
      <c r="E13" s="209">
        <v>124126000</v>
      </c>
      <c r="F13" s="171">
        <v>0</v>
      </c>
      <c r="G13" s="171">
        <v>0</v>
      </c>
      <c r="H13" s="171">
        <v>0</v>
      </c>
      <c r="I13" s="171">
        <v>0</v>
      </c>
      <c r="J13" s="58"/>
      <c r="L13" s="137">
        <v>107955381</v>
      </c>
      <c r="N13" s="130">
        <v>0</v>
      </c>
      <c r="O13" s="107">
        <f t="shared" si="0"/>
        <v>0</v>
      </c>
      <c r="P13" s="107">
        <f t="shared" si="1"/>
        <v>0</v>
      </c>
      <c r="Q13" s="107">
        <f t="shared" si="2"/>
        <v>0</v>
      </c>
      <c r="R13" s="131">
        <f t="shared" si="3"/>
        <v>0</v>
      </c>
    </row>
    <row r="14" spans="1:18" s="53" customFormat="1" ht="29.25" customHeight="1" x14ac:dyDescent="0.25">
      <c r="A14" s="68" t="s">
        <v>3</v>
      </c>
      <c r="B14" s="56" t="s">
        <v>15</v>
      </c>
      <c r="C14" s="57">
        <v>39082</v>
      </c>
      <c r="D14" s="171">
        <v>124126000</v>
      </c>
      <c r="E14" s="209">
        <v>39198000</v>
      </c>
      <c r="F14" s="171">
        <v>84928000</v>
      </c>
      <c r="G14" s="171">
        <v>0</v>
      </c>
      <c r="H14" s="171">
        <v>0</v>
      </c>
      <c r="I14" s="171">
        <v>0</v>
      </c>
      <c r="J14" s="58" t="s">
        <v>4</v>
      </c>
      <c r="L14" s="137"/>
      <c r="N14" s="130">
        <v>0</v>
      </c>
      <c r="O14" s="107">
        <f t="shared" si="0"/>
        <v>0</v>
      </c>
      <c r="P14" s="107">
        <f t="shared" si="1"/>
        <v>0</v>
      </c>
      <c r="Q14" s="107">
        <f t="shared" si="2"/>
        <v>0</v>
      </c>
      <c r="R14" s="131">
        <f t="shared" si="3"/>
        <v>0</v>
      </c>
    </row>
    <row r="15" spans="1:18" s="53" customFormat="1" ht="29.25" customHeight="1" x14ac:dyDescent="0.25">
      <c r="A15" s="68" t="s">
        <v>3</v>
      </c>
      <c r="B15" s="56" t="s">
        <v>5</v>
      </c>
      <c r="C15" s="57">
        <v>39083</v>
      </c>
      <c r="D15" s="171">
        <v>99636000</v>
      </c>
      <c r="E15" s="209">
        <v>99636000</v>
      </c>
      <c r="F15" s="171">
        <v>0</v>
      </c>
      <c r="G15" s="171">
        <v>0</v>
      </c>
      <c r="H15" s="171">
        <v>0</v>
      </c>
      <c r="I15" s="171">
        <v>0</v>
      </c>
      <c r="J15" s="58"/>
      <c r="L15" s="137">
        <v>78918208</v>
      </c>
      <c r="N15" s="130">
        <v>0</v>
      </c>
      <c r="O15" s="107">
        <f t="shared" si="0"/>
        <v>0</v>
      </c>
      <c r="P15" s="107">
        <f t="shared" si="1"/>
        <v>0</v>
      </c>
      <c r="Q15" s="107">
        <f t="shared" si="2"/>
        <v>0</v>
      </c>
      <c r="R15" s="131">
        <f t="shared" si="3"/>
        <v>0</v>
      </c>
    </row>
    <row r="16" spans="1:18" s="53" customFormat="1" ht="29.25" customHeight="1" x14ac:dyDescent="0.25">
      <c r="A16" s="198" t="s">
        <v>3</v>
      </c>
      <c r="B16" s="187" t="s">
        <v>5</v>
      </c>
      <c r="C16" s="199">
        <v>39083</v>
      </c>
      <c r="D16" s="189">
        <v>99636000</v>
      </c>
      <c r="E16" s="234">
        <v>0</v>
      </c>
      <c r="F16" s="189">
        <v>99636000</v>
      </c>
      <c r="G16" s="189">
        <v>0</v>
      </c>
      <c r="H16" s="189">
        <v>0</v>
      </c>
      <c r="I16" s="189">
        <v>0</v>
      </c>
      <c r="J16" s="200" t="s">
        <v>4</v>
      </c>
      <c r="L16" s="137"/>
      <c r="N16" s="130">
        <v>0</v>
      </c>
      <c r="O16" s="107">
        <f t="shared" si="0"/>
        <v>0</v>
      </c>
      <c r="P16" s="107">
        <f t="shared" si="1"/>
        <v>0</v>
      </c>
      <c r="Q16" s="107">
        <f t="shared" si="2"/>
        <v>0</v>
      </c>
      <c r="R16" s="131">
        <f t="shared" si="3"/>
        <v>0</v>
      </c>
    </row>
    <row r="17" spans="1:18" s="53" customFormat="1" ht="29.25" customHeight="1" x14ac:dyDescent="0.25">
      <c r="A17" s="68" t="s">
        <v>3</v>
      </c>
      <c r="B17" s="211"/>
      <c r="C17" s="212"/>
      <c r="D17" s="171"/>
      <c r="E17" s="171"/>
      <c r="F17" s="171"/>
      <c r="G17" s="171"/>
      <c r="H17" s="171"/>
      <c r="I17" s="171"/>
      <c r="J17" s="58"/>
      <c r="L17" s="137"/>
      <c r="N17" s="214">
        <v>0</v>
      </c>
      <c r="O17" s="107">
        <f t="shared" si="0"/>
        <v>0</v>
      </c>
      <c r="P17" s="107">
        <f t="shared" si="1"/>
        <v>0</v>
      </c>
      <c r="Q17" s="107">
        <f t="shared" si="2"/>
        <v>0</v>
      </c>
      <c r="R17" s="131">
        <f t="shared" si="3"/>
        <v>0</v>
      </c>
    </row>
    <row r="18" spans="1:18" s="53" customFormat="1" ht="29.25" customHeight="1" x14ac:dyDescent="0.25">
      <c r="A18" s="68" t="s">
        <v>3</v>
      </c>
      <c r="B18" s="211"/>
      <c r="C18" s="212"/>
      <c r="D18" s="171"/>
      <c r="E18" s="171"/>
      <c r="F18" s="171"/>
      <c r="G18" s="171"/>
      <c r="H18" s="171"/>
      <c r="I18" s="171"/>
      <c r="J18" s="58"/>
      <c r="L18" s="137"/>
      <c r="N18" s="214">
        <v>0</v>
      </c>
      <c r="O18" s="107">
        <f t="shared" si="0"/>
        <v>0</v>
      </c>
      <c r="P18" s="107">
        <f t="shared" si="1"/>
        <v>0</v>
      </c>
      <c r="Q18" s="107">
        <f t="shared" si="2"/>
        <v>0</v>
      </c>
      <c r="R18" s="131">
        <f t="shared" si="3"/>
        <v>0</v>
      </c>
    </row>
    <row r="19" spans="1:18" s="53" customFormat="1" ht="29.25" customHeight="1" thickBot="1" x14ac:dyDescent="0.3">
      <c r="A19" s="198" t="s">
        <v>3</v>
      </c>
      <c r="B19" s="216"/>
      <c r="C19" s="216"/>
      <c r="D19" s="194"/>
      <c r="E19" s="194"/>
      <c r="F19" s="194"/>
      <c r="G19" s="194"/>
      <c r="H19" s="194"/>
      <c r="I19" s="194"/>
      <c r="J19" s="200"/>
      <c r="L19" s="217"/>
      <c r="N19" s="218">
        <v>0</v>
      </c>
      <c r="O19" s="202">
        <f t="shared" si="0"/>
        <v>0</v>
      </c>
      <c r="P19" s="202">
        <f t="shared" si="1"/>
        <v>0</v>
      </c>
      <c r="Q19" s="202">
        <f t="shared" si="2"/>
        <v>0</v>
      </c>
      <c r="R19" s="203">
        <f t="shared" si="3"/>
        <v>0</v>
      </c>
    </row>
    <row r="20" spans="1:18" s="53" customFormat="1" ht="29.25" customHeight="1" x14ac:dyDescent="0.25">
      <c r="A20" s="104" t="s">
        <v>6</v>
      </c>
      <c r="B20" s="59" t="s">
        <v>143</v>
      </c>
      <c r="C20" s="105">
        <v>59621</v>
      </c>
      <c r="D20" s="170">
        <v>3600000</v>
      </c>
      <c r="E20" s="233">
        <v>100000</v>
      </c>
      <c r="F20" s="170">
        <v>2000000</v>
      </c>
      <c r="G20" s="170">
        <v>1500000</v>
      </c>
      <c r="H20" s="170">
        <v>0</v>
      </c>
      <c r="I20" s="170">
        <v>0</v>
      </c>
      <c r="J20" s="106"/>
      <c r="L20" s="135">
        <v>0</v>
      </c>
      <c r="N20" s="127">
        <v>0.19</v>
      </c>
      <c r="O20" s="128">
        <f t="shared" si="0"/>
        <v>380000</v>
      </c>
      <c r="P20" s="128">
        <f t="shared" si="1"/>
        <v>285000</v>
      </c>
      <c r="Q20" s="128">
        <f t="shared" si="2"/>
        <v>0</v>
      </c>
      <c r="R20" s="129">
        <f t="shared" si="3"/>
        <v>0</v>
      </c>
    </row>
    <row r="21" spans="1:18" s="53" customFormat="1" ht="29.25" customHeight="1" x14ac:dyDescent="0.25">
      <c r="A21" s="68" t="s">
        <v>6</v>
      </c>
      <c r="B21" s="56" t="s">
        <v>45</v>
      </c>
      <c r="C21" s="57">
        <v>59652</v>
      </c>
      <c r="D21" s="171">
        <v>5390000</v>
      </c>
      <c r="E21" s="209">
        <v>3500000</v>
      </c>
      <c r="F21" s="171">
        <v>1890000</v>
      </c>
      <c r="G21" s="171">
        <v>0</v>
      </c>
      <c r="H21" s="171">
        <v>0</v>
      </c>
      <c r="I21" s="171">
        <v>0</v>
      </c>
      <c r="J21" s="58"/>
      <c r="L21" s="137">
        <v>3372620</v>
      </c>
      <c r="N21" s="130">
        <v>0.19</v>
      </c>
      <c r="O21" s="107">
        <f t="shared" si="0"/>
        <v>359000</v>
      </c>
      <c r="P21" s="107">
        <f t="shared" si="1"/>
        <v>0</v>
      </c>
      <c r="Q21" s="107">
        <f t="shared" si="2"/>
        <v>0</v>
      </c>
      <c r="R21" s="131">
        <f t="shared" si="3"/>
        <v>0</v>
      </c>
    </row>
    <row r="22" spans="1:18" s="53" customFormat="1" ht="29.25" customHeight="1" x14ac:dyDescent="0.25">
      <c r="A22" s="68" t="s">
        <v>6</v>
      </c>
      <c r="B22" s="56" t="s">
        <v>44</v>
      </c>
      <c r="C22" s="57">
        <v>59654</v>
      </c>
      <c r="D22" s="171">
        <v>1200000</v>
      </c>
      <c r="E22" s="209">
        <v>0</v>
      </c>
      <c r="F22" s="171">
        <v>0</v>
      </c>
      <c r="G22" s="289">
        <v>0</v>
      </c>
      <c r="H22" s="171">
        <v>0</v>
      </c>
      <c r="I22" s="171">
        <v>0</v>
      </c>
      <c r="J22" s="290" t="s">
        <v>289</v>
      </c>
      <c r="L22" s="137">
        <v>0</v>
      </c>
      <c r="N22" s="130">
        <v>0.19</v>
      </c>
      <c r="O22" s="107">
        <f t="shared" si="0"/>
        <v>0</v>
      </c>
      <c r="P22" s="107">
        <f t="shared" si="1"/>
        <v>0</v>
      </c>
      <c r="Q22" s="107">
        <f t="shared" si="2"/>
        <v>0</v>
      </c>
      <c r="R22" s="131">
        <f t="shared" si="3"/>
        <v>0</v>
      </c>
    </row>
    <row r="23" spans="1:18" s="53" customFormat="1" ht="29.25" customHeight="1" x14ac:dyDescent="0.25">
      <c r="A23" s="68" t="s">
        <v>6</v>
      </c>
      <c r="B23" s="56" t="s">
        <v>211</v>
      </c>
      <c r="C23" s="57">
        <v>59669</v>
      </c>
      <c r="D23" s="171">
        <v>2600000</v>
      </c>
      <c r="E23" s="209">
        <v>0</v>
      </c>
      <c r="F23" s="171">
        <v>2600000</v>
      </c>
      <c r="G23" s="171"/>
      <c r="H23" s="171"/>
      <c r="I23" s="171"/>
      <c r="J23" s="58"/>
      <c r="L23" s="137">
        <v>0</v>
      </c>
      <c r="N23" s="130">
        <v>0.19</v>
      </c>
      <c r="O23" s="107">
        <f t="shared" si="0"/>
        <v>494000</v>
      </c>
      <c r="P23" s="107">
        <f t="shared" si="1"/>
        <v>0</v>
      </c>
      <c r="Q23" s="107">
        <f t="shared" si="2"/>
        <v>0</v>
      </c>
      <c r="R23" s="131">
        <f t="shared" si="3"/>
        <v>0</v>
      </c>
    </row>
    <row r="24" spans="1:18" s="53" customFormat="1" ht="29.25" customHeight="1" x14ac:dyDescent="0.25">
      <c r="A24" s="68" t="s">
        <v>6</v>
      </c>
      <c r="B24" s="56" t="s">
        <v>7</v>
      </c>
      <c r="C24" s="57">
        <v>59672</v>
      </c>
      <c r="D24" s="171">
        <v>7274000</v>
      </c>
      <c r="E24" s="209">
        <v>2374000</v>
      </c>
      <c r="F24" s="171">
        <v>0</v>
      </c>
      <c r="G24" s="171">
        <v>4900000</v>
      </c>
      <c r="H24" s="171">
        <v>0</v>
      </c>
      <c r="I24" s="171">
        <v>0</v>
      </c>
      <c r="J24" s="58"/>
      <c r="L24" s="137">
        <v>2210941</v>
      </c>
      <c r="N24" s="130">
        <v>0.19</v>
      </c>
      <c r="O24" s="107">
        <f t="shared" si="0"/>
        <v>0</v>
      </c>
      <c r="P24" s="107">
        <f t="shared" si="1"/>
        <v>931000</v>
      </c>
      <c r="Q24" s="107">
        <f t="shared" si="2"/>
        <v>0</v>
      </c>
      <c r="R24" s="131">
        <f t="shared" si="3"/>
        <v>0</v>
      </c>
    </row>
    <row r="25" spans="1:18" s="53" customFormat="1" ht="29.25" customHeight="1" x14ac:dyDescent="0.25">
      <c r="A25" s="68" t="s">
        <v>6</v>
      </c>
      <c r="B25" s="56" t="s">
        <v>8</v>
      </c>
      <c r="C25" s="57">
        <v>59673</v>
      </c>
      <c r="D25" s="171">
        <v>6525000</v>
      </c>
      <c r="E25" s="209">
        <v>1060000</v>
      </c>
      <c r="F25" s="171">
        <v>5465000</v>
      </c>
      <c r="G25" s="171">
        <v>0</v>
      </c>
      <c r="H25" s="171">
        <v>0</v>
      </c>
      <c r="I25" s="171">
        <v>0</v>
      </c>
      <c r="J25" s="58"/>
      <c r="L25" s="137">
        <v>638132</v>
      </c>
      <c r="N25" s="130">
        <v>0.19</v>
      </c>
      <c r="O25" s="107">
        <f t="shared" si="0"/>
        <v>1038000</v>
      </c>
      <c r="P25" s="107">
        <f t="shared" si="1"/>
        <v>0</v>
      </c>
      <c r="Q25" s="107">
        <f t="shared" si="2"/>
        <v>0</v>
      </c>
      <c r="R25" s="131">
        <f t="shared" si="3"/>
        <v>0</v>
      </c>
    </row>
    <row r="26" spans="1:18" s="53" customFormat="1" ht="29.25" customHeight="1" x14ac:dyDescent="0.25">
      <c r="A26" s="68" t="s">
        <v>6</v>
      </c>
      <c r="B26" s="56" t="s">
        <v>9</v>
      </c>
      <c r="C26" s="57">
        <v>59674</v>
      </c>
      <c r="D26" s="171">
        <v>11006000</v>
      </c>
      <c r="E26" s="209">
        <v>2305000</v>
      </c>
      <c r="F26" s="171">
        <v>0</v>
      </c>
      <c r="G26" s="289">
        <v>0</v>
      </c>
      <c r="H26" s="289">
        <v>0</v>
      </c>
      <c r="I26" s="289">
        <v>5000000</v>
      </c>
      <c r="J26" s="290" t="s">
        <v>289</v>
      </c>
      <c r="L26" s="137">
        <v>1507191</v>
      </c>
      <c r="N26" s="130">
        <v>0.19</v>
      </c>
      <c r="O26" s="107">
        <f t="shared" si="0"/>
        <v>0</v>
      </c>
      <c r="P26" s="107">
        <f t="shared" si="1"/>
        <v>0</v>
      </c>
      <c r="Q26" s="107">
        <f t="shared" si="2"/>
        <v>0</v>
      </c>
      <c r="R26" s="131">
        <f t="shared" si="3"/>
        <v>950000</v>
      </c>
    </row>
    <row r="27" spans="1:18" s="53" customFormat="1" ht="29.25" customHeight="1" x14ac:dyDescent="0.25">
      <c r="A27" s="68" t="s">
        <v>6</v>
      </c>
      <c r="B27" s="56" t="s">
        <v>10</v>
      </c>
      <c r="C27" s="57">
        <v>59675</v>
      </c>
      <c r="D27" s="171">
        <v>1000000</v>
      </c>
      <c r="E27" s="209">
        <v>0</v>
      </c>
      <c r="F27" s="289">
        <v>0</v>
      </c>
      <c r="G27" s="289">
        <v>0</v>
      </c>
      <c r="H27" s="171">
        <v>0</v>
      </c>
      <c r="I27" s="171">
        <v>0</v>
      </c>
      <c r="J27" s="290" t="s">
        <v>289</v>
      </c>
      <c r="L27" s="137">
        <v>0</v>
      </c>
      <c r="N27" s="130">
        <v>0.19</v>
      </c>
      <c r="O27" s="107">
        <f t="shared" si="0"/>
        <v>0</v>
      </c>
      <c r="P27" s="107">
        <f t="shared" si="1"/>
        <v>0</v>
      </c>
      <c r="Q27" s="107">
        <f t="shared" si="2"/>
        <v>0</v>
      </c>
      <c r="R27" s="131">
        <f t="shared" si="3"/>
        <v>0</v>
      </c>
    </row>
    <row r="28" spans="1:18" s="53" customFormat="1" ht="29.25" customHeight="1" x14ac:dyDescent="0.25">
      <c r="A28" s="68" t="s">
        <v>6</v>
      </c>
      <c r="B28" s="56" t="s">
        <v>11</v>
      </c>
      <c r="C28" s="57">
        <v>59676</v>
      </c>
      <c r="D28" s="171">
        <v>1000000</v>
      </c>
      <c r="E28" s="209">
        <v>0</v>
      </c>
      <c r="F28" s="289">
        <v>0</v>
      </c>
      <c r="G28" s="289">
        <v>0</v>
      </c>
      <c r="H28" s="171">
        <v>0</v>
      </c>
      <c r="I28" s="171">
        <v>0</v>
      </c>
      <c r="J28" s="290" t="s">
        <v>289</v>
      </c>
      <c r="L28" s="137">
        <v>13288</v>
      </c>
      <c r="N28" s="130">
        <v>0.19</v>
      </c>
      <c r="O28" s="107">
        <f t="shared" si="0"/>
        <v>0</v>
      </c>
      <c r="P28" s="107">
        <f t="shared" si="1"/>
        <v>0</v>
      </c>
      <c r="Q28" s="107">
        <f t="shared" si="2"/>
        <v>0</v>
      </c>
      <c r="R28" s="131">
        <f t="shared" si="3"/>
        <v>0</v>
      </c>
    </row>
    <row r="29" spans="1:18" s="53" customFormat="1" ht="29.25" customHeight="1" x14ac:dyDescent="0.25">
      <c r="A29" s="68" t="s">
        <v>6</v>
      </c>
      <c r="B29" s="211"/>
      <c r="C29" s="212"/>
      <c r="D29" s="171"/>
      <c r="E29" s="171"/>
      <c r="F29" s="171"/>
      <c r="G29" s="171"/>
      <c r="H29" s="171"/>
      <c r="I29" s="171"/>
      <c r="J29" s="58"/>
      <c r="L29" s="137"/>
      <c r="N29" s="214">
        <v>0.19</v>
      </c>
      <c r="O29" s="107">
        <f t="shared" si="0"/>
        <v>0</v>
      </c>
      <c r="P29" s="107">
        <f t="shared" si="1"/>
        <v>0</v>
      </c>
      <c r="Q29" s="107">
        <f t="shared" si="2"/>
        <v>0</v>
      </c>
      <c r="R29" s="131">
        <f t="shared" si="3"/>
        <v>0</v>
      </c>
    </row>
    <row r="30" spans="1:18" s="53" customFormat="1" ht="29.25" customHeight="1" x14ac:dyDescent="0.25">
      <c r="A30" s="68" t="s">
        <v>6</v>
      </c>
      <c r="B30" s="211"/>
      <c r="C30" s="212"/>
      <c r="D30" s="171"/>
      <c r="E30" s="171"/>
      <c r="F30" s="171"/>
      <c r="G30" s="171"/>
      <c r="H30" s="171"/>
      <c r="I30" s="171"/>
      <c r="J30" s="58"/>
      <c r="L30" s="137"/>
      <c r="N30" s="214">
        <v>0.19</v>
      </c>
      <c r="O30" s="107">
        <f t="shared" si="0"/>
        <v>0</v>
      </c>
      <c r="P30" s="107">
        <f t="shared" si="1"/>
        <v>0</v>
      </c>
      <c r="Q30" s="107">
        <f t="shared" si="2"/>
        <v>0</v>
      </c>
      <c r="R30" s="131">
        <f t="shared" si="3"/>
        <v>0</v>
      </c>
    </row>
    <row r="31" spans="1:18" s="53" customFormat="1" ht="29.25" customHeight="1" thickBot="1" x14ac:dyDescent="0.3">
      <c r="A31" s="221" t="s">
        <v>6</v>
      </c>
      <c r="B31" s="216"/>
      <c r="C31" s="216"/>
      <c r="D31" s="194"/>
      <c r="E31" s="194"/>
      <c r="F31" s="194"/>
      <c r="G31" s="194"/>
      <c r="H31" s="194"/>
      <c r="I31" s="194"/>
      <c r="J31" s="200"/>
      <c r="L31" s="217"/>
      <c r="N31" s="218">
        <v>0.19</v>
      </c>
      <c r="O31" s="202">
        <f t="shared" si="0"/>
        <v>0</v>
      </c>
      <c r="P31" s="202">
        <f t="shared" si="1"/>
        <v>0</v>
      </c>
      <c r="Q31" s="202">
        <f t="shared" si="2"/>
        <v>0</v>
      </c>
      <c r="R31" s="203">
        <f t="shared" si="3"/>
        <v>0</v>
      </c>
    </row>
    <row r="32" spans="1:18" s="53" customFormat="1" ht="29.25" customHeight="1" x14ac:dyDescent="0.25">
      <c r="A32" s="104" t="s">
        <v>12</v>
      </c>
      <c r="B32" s="59" t="s">
        <v>161</v>
      </c>
      <c r="C32" s="105"/>
      <c r="D32" s="233"/>
      <c r="E32" s="233"/>
      <c r="F32" s="170">
        <v>1150000</v>
      </c>
      <c r="G32" s="170">
        <v>3200000</v>
      </c>
      <c r="H32" s="170">
        <v>500000</v>
      </c>
      <c r="I32" s="170">
        <v>300000</v>
      </c>
      <c r="J32" s="106" t="s">
        <v>233</v>
      </c>
      <c r="L32" s="135"/>
      <c r="N32" s="127">
        <v>0.19</v>
      </c>
      <c r="O32" s="128">
        <f t="shared" si="0"/>
        <v>219000</v>
      </c>
      <c r="P32" s="128">
        <f t="shared" si="1"/>
        <v>608000</v>
      </c>
      <c r="Q32" s="128">
        <f t="shared" si="2"/>
        <v>95000</v>
      </c>
      <c r="R32" s="129">
        <f t="shared" si="3"/>
        <v>57000</v>
      </c>
    </row>
    <row r="33" spans="1:18" s="53" customFormat="1" ht="29.25" customHeight="1" x14ac:dyDescent="0.25">
      <c r="A33" s="68" t="s">
        <v>12</v>
      </c>
      <c r="B33" s="56" t="s">
        <v>221</v>
      </c>
      <c r="C33" s="57">
        <v>49041</v>
      </c>
      <c r="D33" s="289">
        <v>87250000</v>
      </c>
      <c r="E33" s="209">
        <v>500000</v>
      </c>
      <c r="F33" s="171">
        <v>500000</v>
      </c>
      <c r="G33" s="171">
        <v>0</v>
      </c>
      <c r="H33" s="171">
        <v>0</v>
      </c>
      <c r="I33" s="289">
        <v>10000000</v>
      </c>
      <c r="J33" s="291" t="s">
        <v>287</v>
      </c>
      <c r="K33" s="119"/>
      <c r="L33" s="136">
        <v>477771</v>
      </c>
      <c r="N33" s="130">
        <v>0.19</v>
      </c>
      <c r="O33" s="107">
        <f t="shared" si="0"/>
        <v>95000</v>
      </c>
      <c r="P33" s="107">
        <f t="shared" si="1"/>
        <v>0</v>
      </c>
      <c r="Q33" s="107">
        <f t="shared" si="2"/>
        <v>0</v>
      </c>
      <c r="R33" s="131">
        <f t="shared" si="3"/>
        <v>1900000</v>
      </c>
    </row>
    <row r="34" spans="1:18" s="53" customFormat="1" ht="29.25" customHeight="1" x14ac:dyDescent="0.25">
      <c r="A34" s="68" t="s">
        <v>12</v>
      </c>
      <c r="B34" s="211"/>
      <c r="C34" s="212"/>
      <c r="D34" s="171"/>
      <c r="E34" s="171"/>
      <c r="F34" s="171"/>
      <c r="G34" s="171"/>
      <c r="H34" s="171"/>
      <c r="I34" s="171"/>
      <c r="J34" s="58"/>
      <c r="L34" s="137"/>
      <c r="N34" s="214">
        <v>0.19</v>
      </c>
      <c r="O34" s="107">
        <f t="shared" ref="O34:O36" si="4">ROUND($N34*F34,-3)</f>
        <v>0</v>
      </c>
      <c r="P34" s="107">
        <f t="shared" ref="P34:P36" si="5">ROUND($N34*G34,-3)</f>
        <v>0</v>
      </c>
      <c r="Q34" s="107">
        <f t="shared" ref="Q34:Q36" si="6">ROUND($N34*H34,-3)</f>
        <v>0</v>
      </c>
      <c r="R34" s="131">
        <f t="shared" ref="R34:R36" si="7">ROUND($N34*I34,-3)</f>
        <v>0</v>
      </c>
    </row>
    <row r="35" spans="1:18" s="53" customFormat="1" ht="29.25" customHeight="1" x14ac:dyDescent="0.25">
      <c r="A35" s="68" t="s">
        <v>12</v>
      </c>
      <c r="B35" s="211"/>
      <c r="C35" s="212"/>
      <c r="D35" s="171"/>
      <c r="E35" s="171"/>
      <c r="F35" s="171"/>
      <c r="G35" s="171"/>
      <c r="H35" s="171"/>
      <c r="I35" s="171"/>
      <c r="J35" s="58"/>
      <c r="L35" s="137"/>
      <c r="N35" s="219">
        <v>0.19</v>
      </c>
      <c r="O35" s="107">
        <f t="shared" si="4"/>
        <v>0</v>
      </c>
      <c r="P35" s="107">
        <f t="shared" si="5"/>
        <v>0</v>
      </c>
      <c r="Q35" s="107">
        <f t="shared" si="6"/>
        <v>0</v>
      </c>
      <c r="R35" s="131">
        <f t="shared" si="7"/>
        <v>0</v>
      </c>
    </row>
    <row r="36" spans="1:18" s="53" customFormat="1" ht="29.25" customHeight="1" thickBot="1" x14ac:dyDescent="0.3">
      <c r="A36" s="221" t="s">
        <v>12</v>
      </c>
      <c r="B36" s="216"/>
      <c r="C36" s="216"/>
      <c r="D36" s="194"/>
      <c r="E36" s="194"/>
      <c r="F36" s="194"/>
      <c r="G36" s="194"/>
      <c r="H36" s="194"/>
      <c r="I36" s="194"/>
      <c r="J36" s="200"/>
      <c r="L36" s="217"/>
      <c r="N36" s="215">
        <v>0.19</v>
      </c>
      <c r="O36" s="112">
        <f t="shared" si="4"/>
        <v>0</v>
      </c>
      <c r="P36" s="112">
        <f t="shared" si="5"/>
        <v>0</v>
      </c>
      <c r="Q36" s="112">
        <f t="shared" si="6"/>
        <v>0</v>
      </c>
      <c r="R36" s="132">
        <f t="shared" si="7"/>
        <v>0</v>
      </c>
    </row>
    <row r="37" spans="1:18" s="53" customFormat="1" ht="29.25" customHeight="1" x14ac:dyDescent="0.25">
      <c r="A37" s="104" t="s">
        <v>132</v>
      </c>
      <c r="B37" s="59" t="s">
        <v>162</v>
      </c>
      <c r="C37" s="105"/>
      <c r="D37" s="233"/>
      <c r="E37" s="233"/>
      <c r="F37" s="292">
        <v>3000000</v>
      </c>
      <c r="G37" s="292">
        <v>3000000</v>
      </c>
      <c r="H37" s="170">
        <v>2000000</v>
      </c>
      <c r="I37" s="170">
        <v>2000000</v>
      </c>
      <c r="J37" s="106" t="s">
        <v>233</v>
      </c>
      <c r="L37" s="135"/>
      <c r="N37" s="127">
        <v>0.19</v>
      </c>
      <c r="O37" s="128">
        <f>ROUND($N37*F37,-3)</f>
        <v>570000</v>
      </c>
      <c r="P37" s="128">
        <f>ROUND($N37*G37,-3)</f>
        <v>570000</v>
      </c>
      <c r="Q37" s="128">
        <f>ROUND($N37*H37,-3)</f>
        <v>380000</v>
      </c>
      <c r="R37" s="129">
        <f>ROUND($N37*I37,-3)</f>
        <v>380000</v>
      </c>
    </row>
    <row r="38" spans="1:18" s="53" customFormat="1" ht="29.25" customHeight="1" x14ac:dyDescent="0.25">
      <c r="A38" s="68" t="s">
        <v>132</v>
      </c>
      <c r="B38" s="56" t="s">
        <v>163</v>
      </c>
      <c r="C38" s="57"/>
      <c r="D38" s="209"/>
      <c r="E38" s="209"/>
      <c r="F38" s="171">
        <v>6100000</v>
      </c>
      <c r="G38" s="171">
        <v>4100000</v>
      </c>
      <c r="H38" s="171">
        <v>4400000</v>
      </c>
      <c r="I38" s="171">
        <v>3000000</v>
      </c>
      <c r="J38" s="58" t="s">
        <v>233</v>
      </c>
      <c r="L38" s="137"/>
      <c r="N38" s="130">
        <v>0.19</v>
      </c>
      <c r="O38" s="107">
        <f t="shared" ref="O38:O43" si="8">ROUND($N38*F38,-3)</f>
        <v>1159000</v>
      </c>
      <c r="P38" s="107">
        <v>780000</v>
      </c>
      <c r="Q38" s="107">
        <f t="shared" ref="Q38:R43" si="9">ROUND($N38*H38,-3)</f>
        <v>836000</v>
      </c>
      <c r="R38" s="131">
        <f t="shared" si="9"/>
        <v>570000</v>
      </c>
    </row>
    <row r="39" spans="1:18" s="53" customFormat="1" ht="29.25" customHeight="1" x14ac:dyDescent="0.25">
      <c r="A39" s="68" t="s">
        <v>132</v>
      </c>
      <c r="B39" s="56" t="s">
        <v>13</v>
      </c>
      <c r="C39" s="57">
        <v>19017</v>
      </c>
      <c r="D39" s="171"/>
      <c r="E39" s="209"/>
      <c r="F39" s="171">
        <v>500000</v>
      </c>
      <c r="G39" s="171">
        <v>500000</v>
      </c>
      <c r="H39" s="171">
        <v>500000</v>
      </c>
      <c r="I39" s="171">
        <v>500000</v>
      </c>
      <c r="J39" s="58" t="s">
        <v>235</v>
      </c>
      <c r="L39" s="137"/>
      <c r="N39" s="130">
        <v>0.19</v>
      </c>
      <c r="O39" s="107">
        <f t="shared" si="8"/>
        <v>95000</v>
      </c>
      <c r="P39" s="107">
        <f>ROUND($N39*G39,-3)</f>
        <v>95000</v>
      </c>
      <c r="Q39" s="107">
        <f t="shared" si="9"/>
        <v>95000</v>
      </c>
      <c r="R39" s="131">
        <f t="shared" si="9"/>
        <v>95000</v>
      </c>
    </row>
    <row r="40" spans="1:18" s="53" customFormat="1" ht="29.25" customHeight="1" x14ac:dyDescent="0.25">
      <c r="A40" s="68" t="s">
        <v>132</v>
      </c>
      <c r="B40" s="56" t="s">
        <v>206</v>
      </c>
      <c r="C40" s="57">
        <v>19022</v>
      </c>
      <c r="D40" s="171"/>
      <c r="E40" s="209"/>
      <c r="F40" s="171">
        <v>1000000</v>
      </c>
      <c r="G40" s="171">
        <v>2000000</v>
      </c>
      <c r="H40" s="171">
        <v>1000000</v>
      </c>
      <c r="I40" s="171">
        <v>0</v>
      </c>
      <c r="J40" s="58" t="s">
        <v>235</v>
      </c>
      <c r="L40" s="137"/>
      <c r="N40" s="130">
        <v>0.19</v>
      </c>
      <c r="O40" s="107">
        <f t="shared" si="8"/>
        <v>190000</v>
      </c>
      <c r="P40" s="107">
        <f>ROUND($N40*G40,-3)</f>
        <v>380000</v>
      </c>
      <c r="Q40" s="107">
        <f t="shared" si="9"/>
        <v>190000</v>
      </c>
      <c r="R40" s="131">
        <f t="shared" si="9"/>
        <v>0</v>
      </c>
    </row>
    <row r="41" spans="1:18" s="53" customFormat="1" ht="29.25" customHeight="1" x14ac:dyDescent="0.25">
      <c r="A41" s="68" t="s">
        <v>132</v>
      </c>
      <c r="B41" s="56" t="s">
        <v>180</v>
      </c>
      <c r="C41" s="57">
        <v>49645</v>
      </c>
      <c r="D41" s="289">
        <v>6000000</v>
      </c>
      <c r="E41" s="209">
        <v>0</v>
      </c>
      <c r="F41" s="289">
        <v>3000000</v>
      </c>
      <c r="G41" s="289">
        <v>3000000</v>
      </c>
      <c r="H41" s="171">
        <v>0</v>
      </c>
      <c r="I41" s="171">
        <v>0</v>
      </c>
      <c r="J41" s="58"/>
      <c r="L41" s="137">
        <v>0</v>
      </c>
      <c r="N41" s="130">
        <v>0.19</v>
      </c>
      <c r="O41" s="107">
        <f t="shared" si="8"/>
        <v>570000</v>
      </c>
      <c r="P41" s="107">
        <f>ROUND($N41*G41,-3)</f>
        <v>570000</v>
      </c>
      <c r="Q41" s="107">
        <f t="shared" si="9"/>
        <v>0</v>
      </c>
      <c r="R41" s="131">
        <f t="shared" si="9"/>
        <v>0</v>
      </c>
    </row>
    <row r="42" spans="1:18" s="53" customFormat="1" ht="29.25" customHeight="1" x14ac:dyDescent="0.25">
      <c r="A42" s="68" t="s">
        <v>132</v>
      </c>
      <c r="B42" s="56" t="s">
        <v>169</v>
      </c>
      <c r="C42" s="57">
        <v>19600</v>
      </c>
      <c r="D42" s="171"/>
      <c r="E42" s="209"/>
      <c r="F42" s="171">
        <v>6883000</v>
      </c>
      <c r="G42" s="171">
        <v>6883000</v>
      </c>
      <c r="H42" s="171">
        <v>6883000</v>
      </c>
      <c r="I42" s="171">
        <v>6883000</v>
      </c>
      <c r="J42" s="58" t="s">
        <v>235</v>
      </c>
      <c r="L42" s="137"/>
      <c r="N42" s="130">
        <v>0</v>
      </c>
      <c r="O42" s="107">
        <f t="shared" si="8"/>
        <v>0</v>
      </c>
      <c r="P42" s="107">
        <f>ROUND($N42*G42,-3)</f>
        <v>0</v>
      </c>
      <c r="Q42" s="107">
        <f t="shared" si="9"/>
        <v>0</v>
      </c>
      <c r="R42" s="131">
        <f t="shared" si="9"/>
        <v>0</v>
      </c>
    </row>
    <row r="43" spans="1:18" s="53" customFormat="1" ht="29.25" customHeight="1" x14ac:dyDescent="0.25">
      <c r="A43" s="68" t="s">
        <v>132</v>
      </c>
      <c r="B43" s="56" t="s">
        <v>170</v>
      </c>
      <c r="C43" s="57">
        <v>19604</v>
      </c>
      <c r="D43" s="171"/>
      <c r="E43" s="209"/>
      <c r="F43" s="171">
        <v>50350000</v>
      </c>
      <c r="G43" s="171">
        <v>2850000</v>
      </c>
      <c r="H43" s="171">
        <v>700000</v>
      </c>
      <c r="I43" s="171">
        <v>12010000</v>
      </c>
      <c r="J43" s="58" t="s">
        <v>235</v>
      </c>
      <c r="L43" s="137"/>
      <c r="N43" s="130">
        <v>0</v>
      </c>
      <c r="O43" s="107">
        <f t="shared" si="8"/>
        <v>0</v>
      </c>
      <c r="P43" s="107">
        <f>ROUND($N43*G43,-3)</f>
        <v>0</v>
      </c>
      <c r="Q43" s="107">
        <f t="shared" si="9"/>
        <v>0</v>
      </c>
      <c r="R43" s="131">
        <f t="shared" si="9"/>
        <v>0</v>
      </c>
    </row>
    <row r="44" spans="1:18" s="53" customFormat="1" ht="29.25" customHeight="1" x14ac:dyDescent="0.25">
      <c r="A44" s="68" t="s">
        <v>132</v>
      </c>
      <c r="B44" s="211"/>
      <c r="C44" s="212"/>
      <c r="D44" s="171"/>
      <c r="E44" s="171"/>
      <c r="F44" s="171"/>
      <c r="G44" s="171"/>
      <c r="H44" s="171"/>
      <c r="I44" s="171"/>
      <c r="J44" s="58"/>
      <c r="L44" s="137"/>
      <c r="N44" s="214">
        <v>0.19</v>
      </c>
      <c r="O44" s="107">
        <f t="shared" ref="O44:O46" si="10">ROUND($N44*F44,-3)</f>
        <v>0</v>
      </c>
      <c r="P44" s="107">
        <f t="shared" ref="P44:P46" si="11">ROUND($N44*G44,-3)</f>
        <v>0</v>
      </c>
      <c r="Q44" s="107">
        <f t="shared" ref="Q44:Q46" si="12">ROUND($N44*H44,-3)</f>
        <v>0</v>
      </c>
      <c r="R44" s="131">
        <f t="shared" ref="R44:R46" si="13">ROUND($N44*I44,-3)</f>
        <v>0</v>
      </c>
    </row>
    <row r="45" spans="1:18" s="53" customFormat="1" ht="29.25" customHeight="1" x14ac:dyDescent="0.25">
      <c r="A45" s="68" t="s">
        <v>132</v>
      </c>
      <c r="B45" s="211"/>
      <c r="C45" s="212"/>
      <c r="D45" s="171"/>
      <c r="E45" s="171"/>
      <c r="F45" s="171"/>
      <c r="G45" s="171"/>
      <c r="H45" s="171"/>
      <c r="I45" s="171"/>
      <c r="J45" s="58"/>
      <c r="L45" s="137"/>
      <c r="N45" s="214">
        <v>0.19</v>
      </c>
      <c r="O45" s="107">
        <f t="shared" si="10"/>
        <v>0</v>
      </c>
      <c r="P45" s="107">
        <f t="shared" si="11"/>
        <v>0</v>
      </c>
      <c r="Q45" s="107">
        <f t="shared" si="12"/>
        <v>0</v>
      </c>
      <c r="R45" s="131">
        <f t="shared" si="13"/>
        <v>0</v>
      </c>
    </row>
    <row r="46" spans="1:18" ht="29.25" customHeight="1" thickBot="1" x14ac:dyDescent="0.3">
      <c r="A46" s="229" t="s">
        <v>132</v>
      </c>
      <c r="B46" s="222"/>
      <c r="C46" s="223"/>
      <c r="D46" s="235"/>
      <c r="E46" s="235"/>
      <c r="F46" s="235"/>
      <c r="G46" s="235"/>
      <c r="H46" s="235"/>
      <c r="I46" s="235"/>
      <c r="J46" s="231"/>
      <c r="L46" s="224"/>
      <c r="N46" s="220">
        <v>0.19</v>
      </c>
      <c r="O46" s="112">
        <f t="shared" si="10"/>
        <v>0</v>
      </c>
      <c r="P46" s="112">
        <f t="shared" si="11"/>
        <v>0</v>
      </c>
      <c r="Q46" s="112">
        <f t="shared" si="12"/>
        <v>0</v>
      </c>
      <c r="R46" s="132">
        <f t="shared" si="13"/>
        <v>0</v>
      </c>
    </row>
    <row r="47" spans="1:18" s="53" customFormat="1" ht="29.25" customHeight="1" x14ac:dyDescent="0.25">
      <c r="A47" s="104" t="s">
        <v>182</v>
      </c>
      <c r="B47" s="59" t="s">
        <v>187</v>
      </c>
      <c r="C47" s="105"/>
      <c r="D47" s="233"/>
      <c r="E47" s="233"/>
      <c r="F47" s="170">
        <v>2021000</v>
      </c>
      <c r="G47" s="170">
        <v>200000</v>
      </c>
      <c r="H47" s="170">
        <v>200000</v>
      </c>
      <c r="I47" s="170">
        <v>1240000</v>
      </c>
      <c r="J47" s="106" t="s">
        <v>233</v>
      </c>
      <c r="L47" s="135"/>
      <c r="N47" s="127">
        <v>0.19</v>
      </c>
      <c r="O47" s="128">
        <f t="shared" ref="O47:R48" si="14">ROUND($N47*F47,-3)</f>
        <v>384000</v>
      </c>
      <c r="P47" s="128">
        <f t="shared" si="14"/>
        <v>38000</v>
      </c>
      <c r="Q47" s="128">
        <f t="shared" si="14"/>
        <v>38000</v>
      </c>
      <c r="R47" s="129">
        <f t="shared" si="14"/>
        <v>236000</v>
      </c>
    </row>
    <row r="48" spans="1:18" s="53" customFormat="1" ht="29.25" customHeight="1" x14ac:dyDescent="0.25">
      <c r="A48" s="68" t="s">
        <v>182</v>
      </c>
      <c r="B48" s="56" t="s">
        <v>174</v>
      </c>
      <c r="C48" s="57">
        <v>49040</v>
      </c>
      <c r="D48" s="171">
        <v>2600000</v>
      </c>
      <c r="E48" s="209">
        <v>1000000</v>
      </c>
      <c r="F48" s="171">
        <v>1600000</v>
      </c>
      <c r="G48" s="171">
        <v>0</v>
      </c>
      <c r="H48" s="171">
        <v>0</v>
      </c>
      <c r="I48" s="171">
        <v>0</v>
      </c>
      <c r="J48" s="58"/>
      <c r="L48" s="137">
        <v>107381</v>
      </c>
      <c r="N48" s="130">
        <v>0.19</v>
      </c>
      <c r="O48" s="107">
        <f t="shared" si="14"/>
        <v>304000</v>
      </c>
      <c r="P48" s="107">
        <f t="shared" si="14"/>
        <v>0</v>
      </c>
      <c r="Q48" s="107">
        <f t="shared" si="14"/>
        <v>0</v>
      </c>
      <c r="R48" s="131">
        <f t="shared" si="14"/>
        <v>0</v>
      </c>
    </row>
    <row r="49" spans="1:18" s="53" customFormat="1" ht="29.25" customHeight="1" x14ac:dyDescent="0.25">
      <c r="A49" s="68" t="s">
        <v>182</v>
      </c>
      <c r="B49" s="211"/>
      <c r="C49" s="212"/>
      <c r="D49" s="171"/>
      <c r="E49" s="171"/>
      <c r="F49" s="171"/>
      <c r="G49" s="171"/>
      <c r="H49" s="171"/>
      <c r="I49" s="171"/>
      <c r="J49" s="58"/>
      <c r="L49" s="137"/>
      <c r="N49" s="214">
        <v>0.19</v>
      </c>
      <c r="O49" s="107">
        <f t="shared" ref="O49:O51" si="15">ROUND($N49*F49,-3)</f>
        <v>0</v>
      </c>
      <c r="P49" s="107">
        <f t="shared" ref="P49:P51" si="16">ROUND($N49*G49,-3)</f>
        <v>0</v>
      </c>
      <c r="Q49" s="107">
        <f t="shared" ref="Q49:Q51" si="17">ROUND($N49*H49,-3)</f>
        <v>0</v>
      </c>
      <c r="R49" s="131">
        <f t="shared" ref="R49:R51" si="18">ROUND($N49*I49,-3)</f>
        <v>0</v>
      </c>
    </row>
    <row r="50" spans="1:18" s="53" customFormat="1" ht="29.25" customHeight="1" x14ac:dyDescent="0.25">
      <c r="A50" s="68" t="s">
        <v>182</v>
      </c>
      <c r="B50" s="211"/>
      <c r="C50" s="212"/>
      <c r="D50" s="171"/>
      <c r="E50" s="171"/>
      <c r="F50" s="171"/>
      <c r="G50" s="171"/>
      <c r="H50" s="171"/>
      <c r="I50" s="171"/>
      <c r="J50" s="58"/>
      <c r="L50" s="137"/>
      <c r="N50" s="214">
        <v>0.19</v>
      </c>
      <c r="O50" s="107">
        <f t="shared" si="15"/>
        <v>0</v>
      </c>
      <c r="P50" s="107">
        <f t="shared" si="16"/>
        <v>0</v>
      </c>
      <c r="Q50" s="107">
        <f t="shared" si="17"/>
        <v>0</v>
      </c>
      <c r="R50" s="131">
        <f t="shared" si="18"/>
        <v>0</v>
      </c>
    </row>
    <row r="51" spans="1:18" s="53" customFormat="1" ht="29.25" customHeight="1" thickBot="1" x14ac:dyDescent="0.3">
      <c r="A51" s="198" t="s">
        <v>182</v>
      </c>
      <c r="B51" s="225"/>
      <c r="C51" s="226"/>
      <c r="D51" s="189"/>
      <c r="E51" s="189"/>
      <c r="F51" s="189"/>
      <c r="G51" s="189"/>
      <c r="H51" s="189"/>
      <c r="I51" s="189"/>
      <c r="J51" s="200"/>
      <c r="L51" s="201"/>
      <c r="N51" s="215">
        <v>0.19</v>
      </c>
      <c r="O51" s="112">
        <f t="shared" si="15"/>
        <v>0</v>
      </c>
      <c r="P51" s="112">
        <f t="shared" si="16"/>
        <v>0</v>
      </c>
      <c r="Q51" s="112">
        <f t="shared" si="17"/>
        <v>0</v>
      </c>
      <c r="R51" s="132">
        <f t="shared" si="18"/>
        <v>0</v>
      </c>
    </row>
    <row r="52" spans="1:18" s="53" customFormat="1" ht="29.25" customHeight="1" x14ac:dyDescent="0.25">
      <c r="A52" s="104" t="s">
        <v>14</v>
      </c>
      <c r="B52" s="59" t="s">
        <v>147</v>
      </c>
      <c r="C52" s="105">
        <v>39074</v>
      </c>
      <c r="D52" s="170">
        <v>25194000</v>
      </c>
      <c r="E52" s="233">
        <v>22106000</v>
      </c>
      <c r="F52" s="170">
        <v>3088000</v>
      </c>
      <c r="G52" s="170">
        <v>0</v>
      </c>
      <c r="H52" s="170">
        <v>0</v>
      </c>
      <c r="I52" s="170">
        <v>0</v>
      </c>
      <c r="J52" s="133"/>
      <c r="K52" s="119"/>
      <c r="L52" s="138">
        <v>12750830</v>
      </c>
      <c r="N52" s="127">
        <v>0.19</v>
      </c>
      <c r="O52" s="128">
        <f t="shared" ref="O52:R59" si="19">ROUND($N52*F52,-3)</f>
        <v>587000</v>
      </c>
      <c r="P52" s="128">
        <f t="shared" si="19"/>
        <v>0</v>
      </c>
      <c r="Q52" s="128">
        <f t="shared" si="19"/>
        <v>0</v>
      </c>
      <c r="R52" s="129">
        <f t="shared" si="19"/>
        <v>0</v>
      </c>
    </row>
    <row r="53" spans="1:18" s="53" customFormat="1" ht="29.25" customHeight="1" x14ac:dyDescent="0.25">
      <c r="A53" s="68" t="s">
        <v>14</v>
      </c>
      <c r="B53" s="56" t="s">
        <v>173</v>
      </c>
      <c r="C53" s="57">
        <v>39050</v>
      </c>
      <c r="D53" s="171">
        <v>9686000</v>
      </c>
      <c r="E53" s="209">
        <v>7482000</v>
      </c>
      <c r="F53" s="171">
        <v>2204000</v>
      </c>
      <c r="G53" s="171">
        <v>0</v>
      </c>
      <c r="H53" s="171">
        <v>0</v>
      </c>
      <c r="I53" s="171">
        <v>0</v>
      </c>
      <c r="J53" s="108"/>
      <c r="K53" s="119"/>
      <c r="L53" s="136">
        <v>6185900</v>
      </c>
      <c r="N53" s="130">
        <v>0.19</v>
      </c>
      <c r="O53" s="107">
        <f t="shared" si="19"/>
        <v>419000</v>
      </c>
      <c r="P53" s="107">
        <f t="shared" si="19"/>
        <v>0</v>
      </c>
      <c r="Q53" s="107">
        <f t="shared" si="19"/>
        <v>0</v>
      </c>
      <c r="R53" s="131">
        <f t="shared" si="19"/>
        <v>0</v>
      </c>
    </row>
    <row r="54" spans="1:18" s="53" customFormat="1" ht="29.25" customHeight="1" x14ac:dyDescent="0.25">
      <c r="A54" s="68" t="s">
        <v>14</v>
      </c>
      <c r="B54" s="56" t="s">
        <v>190</v>
      </c>
      <c r="C54" s="57">
        <v>39084</v>
      </c>
      <c r="D54" s="171">
        <v>23374000</v>
      </c>
      <c r="E54" s="209">
        <v>23374000</v>
      </c>
      <c r="F54" s="171">
        <v>0</v>
      </c>
      <c r="G54" s="171">
        <v>0</v>
      </c>
      <c r="H54" s="171">
        <v>0</v>
      </c>
      <c r="I54" s="171">
        <v>0</v>
      </c>
      <c r="J54" s="58"/>
      <c r="L54" s="137">
        <v>20471795</v>
      </c>
      <c r="N54" s="130">
        <v>0.19</v>
      </c>
      <c r="O54" s="107">
        <f t="shared" si="19"/>
        <v>0</v>
      </c>
      <c r="P54" s="107">
        <f t="shared" si="19"/>
        <v>0</v>
      </c>
      <c r="Q54" s="107">
        <f t="shared" si="19"/>
        <v>0</v>
      </c>
      <c r="R54" s="131">
        <f t="shared" si="19"/>
        <v>0</v>
      </c>
    </row>
    <row r="55" spans="1:18" s="53" customFormat="1" ht="29.25" customHeight="1" x14ac:dyDescent="0.25">
      <c r="A55" s="68" t="s">
        <v>14</v>
      </c>
      <c r="B55" s="56" t="s">
        <v>16</v>
      </c>
      <c r="C55" s="57">
        <v>39087</v>
      </c>
      <c r="D55" s="171">
        <v>21550000</v>
      </c>
      <c r="E55" s="209">
        <v>10750000</v>
      </c>
      <c r="F55" s="171">
        <v>3600000</v>
      </c>
      <c r="G55" s="171">
        <v>3600000</v>
      </c>
      <c r="H55" s="171">
        <v>0</v>
      </c>
      <c r="I55" s="171">
        <v>3600000</v>
      </c>
      <c r="J55" s="108" t="s">
        <v>237</v>
      </c>
      <c r="L55" s="137">
        <v>8124027</v>
      </c>
      <c r="N55" s="130">
        <v>0</v>
      </c>
      <c r="O55" s="107">
        <f t="shared" si="19"/>
        <v>0</v>
      </c>
      <c r="P55" s="107">
        <f t="shared" si="19"/>
        <v>0</v>
      </c>
      <c r="Q55" s="107">
        <f t="shared" si="19"/>
        <v>0</v>
      </c>
      <c r="R55" s="131">
        <f t="shared" si="19"/>
        <v>0</v>
      </c>
    </row>
    <row r="56" spans="1:18" s="53" customFormat="1" ht="29.25" customHeight="1" x14ac:dyDescent="0.25">
      <c r="A56" s="68" t="s">
        <v>184</v>
      </c>
      <c r="B56" s="56" t="s">
        <v>225</v>
      </c>
      <c r="C56" s="57">
        <v>39098</v>
      </c>
      <c r="D56" s="171">
        <v>21000000</v>
      </c>
      <c r="E56" s="209">
        <v>0</v>
      </c>
      <c r="F56" s="171">
        <v>0</v>
      </c>
      <c r="G56" s="171">
        <v>0</v>
      </c>
      <c r="H56" s="171">
        <v>21000000</v>
      </c>
      <c r="I56" s="171">
        <v>0</v>
      </c>
      <c r="J56" s="58"/>
      <c r="L56" s="137">
        <v>0</v>
      </c>
      <c r="N56" s="130">
        <v>0.19</v>
      </c>
      <c r="O56" s="107">
        <f t="shared" si="19"/>
        <v>0</v>
      </c>
      <c r="P56" s="107">
        <f t="shared" si="19"/>
        <v>0</v>
      </c>
      <c r="Q56" s="107">
        <f t="shared" si="19"/>
        <v>3990000</v>
      </c>
      <c r="R56" s="131">
        <f t="shared" si="19"/>
        <v>0</v>
      </c>
    </row>
    <row r="57" spans="1:18" s="53" customFormat="1" ht="29.25" customHeight="1" x14ac:dyDescent="0.25">
      <c r="A57" s="68" t="s">
        <v>184</v>
      </c>
      <c r="B57" s="56" t="s">
        <v>207</v>
      </c>
      <c r="C57" s="57">
        <v>39099</v>
      </c>
      <c r="D57" s="171">
        <v>22500000</v>
      </c>
      <c r="E57" s="209">
        <v>0</v>
      </c>
      <c r="F57" s="171">
        <v>5000000</v>
      </c>
      <c r="G57" s="171">
        <v>5000000</v>
      </c>
      <c r="H57" s="171">
        <v>12500000</v>
      </c>
      <c r="I57" s="171">
        <v>0</v>
      </c>
      <c r="J57" s="58"/>
      <c r="L57" s="137">
        <v>0</v>
      </c>
      <c r="N57" s="130">
        <v>0</v>
      </c>
      <c r="O57" s="107">
        <f t="shared" si="19"/>
        <v>0</v>
      </c>
      <c r="P57" s="107">
        <f t="shared" si="19"/>
        <v>0</v>
      </c>
      <c r="Q57" s="107">
        <f t="shared" si="19"/>
        <v>0</v>
      </c>
      <c r="R57" s="131">
        <f t="shared" si="19"/>
        <v>0</v>
      </c>
    </row>
    <row r="58" spans="1:18" s="53" customFormat="1" ht="29.25" customHeight="1" x14ac:dyDescent="0.25">
      <c r="A58" s="68" t="s">
        <v>14</v>
      </c>
      <c r="B58" s="56" t="s">
        <v>220</v>
      </c>
      <c r="C58" s="57">
        <v>39093</v>
      </c>
      <c r="D58" s="171">
        <v>23000000</v>
      </c>
      <c r="E58" s="209">
        <v>500000</v>
      </c>
      <c r="F58" s="171">
        <v>1250000</v>
      </c>
      <c r="G58" s="171">
        <v>11250000</v>
      </c>
      <c r="H58" s="171">
        <v>10000000</v>
      </c>
      <c r="I58" s="171">
        <v>0</v>
      </c>
      <c r="J58" s="108" t="s">
        <v>237</v>
      </c>
      <c r="L58" s="137">
        <v>19619</v>
      </c>
      <c r="N58" s="130">
        <v>0</v>
      </c>
      <c r="O58" s="107">
        <f t="shared" si="19"/>
        <v>0</v>
      </c>
      <c r="P58" s="107">
        <f t="shared" si="19"/>
        <v>0</v>
      </c>
      <c r="Q58" s="107">
        <f t="shared" si="19"/>
        <v>0</v>
      </c>
      <c r="R58" s="131">
        <f t="shared" si="19"/>
        <v>0</v>
      </c>
    </row>
    <row r="59" spans="1:18" s="53" customFormat="1" ht="29.25" customHeight="1" x14ac:dyDescent="0.25">
      <c r="A59" s="68" t="s">
        <v>14</v>
      </c>
      <c r="B59" s="56" t="s">
        <v>216</v>
      </c>
      <c r="C59" s="57">
        <v>39097</v>
      </c>
      <c r="D59" s="171">
        <v>10170000</v>
      </c>
      <c r="E59" s="209">
        <v>0</v>
      </c>
      <c r="F59" s="171">
        <v>10170000</v>
      </c>
      <c r="G59" s="171">
        <v>0</v>
      </c>
      <c r="H59" s="171">
        <v>0</v>
      </c>
      <c r="I59" s="171">
        <v>0</v>
      </c>
      <c r="J59" s="108" t="s">
        <v>237</v>
      </c>
      <c r="L59" s="137">
        <v>0</v>
      </c>
      <c r="N59" s="130">
        <v>0</v>
      </c>
      <c r="O59" s="107">
        <f t="shared" si="19"/>
        <v>0</v>
      </c>
      <c r="P59" s="107">
        <f t="shared" si="19"/>
        <v>0</v>
      </c>
      <c r="Q59" s="107">
        <f t="shared" si="19"/>
        <v>0</v>
      </c>
      <c r="R59" s="131">
        <f t="shared" si="19"/>
        <v>0</v>
      </c>
    </row>
    <row r="60" spans="1:18" s="53" customFormat="1" ht="29.25" customHeight="1" x14ac:dyDescent="0.25">
      <c r="A60" s="68" t="s">
        <v>14</v>
      </c>
      <c r="B60" s="211"/>
      <c r="C60" s="212"/>
      <c r="D60" s="171"/>
      <c r="E60" s="171"/>
      <c r="F60" s="171"/>
      <c r="G60" s="171"/>
      <c r="H60" s="171"/>
      <c r="I60" s="171"/>
      <c r="J60" s="108"/>
      <c r="L60" s="137"/>
      <c r="N60" s="214">
        <v>0.19</v>
      </c>
      <c r="O60" s="107">
        <f t="shared" ref="O60:O62" si="20">ROUND($N60*F60,-3)</f>
        <v>0</v>
      </c>
      <c r="P60" s="107">
        <f t="shared" ref="P60:P62" si="21">ROUND($N60*G60,-3)</f>
        <v>0</v>
      </c>
      <c r="Q60" s="107">
        <f t="shared" ref="Q60:Q62" si="22">ROUND($N60*H60,-3)</f>
        <v>0</v>
      </c>
      <c r="R60" s="131">
        <f t="shared" ref="R60:R62" si="23">ROUND($N60*I60,-3)</f>
        <v>0</v>
      </c>
    </row>
    <row r="61" spans="1:18" s="53" customFormat="1" ht="29.25" customHeight="1" x14ac:dyDescent="0.25">
      <c r="A61" s="68" t="s">
        <v>14</v>
      </c>
      <c r="B61" s="211"/>
      <c r="C61" s="212"/>
      <c r="D61" s="171"/>
      <c r="E61" s="171"/>
      <c r="F61" s="171"/>
      <c r="G61" s="171"/>
      <c r="H61" s="171"/>
      <c r="I61" s="171"/>
      <c r="J61" s="108"/>
      <c r="L61" s="137"/>
      <c r="N61" s="214">
        <v>0.19</v>
      </c>
      <c r="O61" s="107">
        <f t="shared" si="20"/>
        <v>0</v>
      </c>
      <c r="P61" s="107">
        <f t="shared" si="21"/>
        <v>0</v>
      </c>
      <c r="Q61" s="107">
        <f t="shared" si="22"/>
        <v>0</v>
      </c>
      <c r="R61" s="131">
        <f t="shared" si="23"/>
        <v>0</v>
      </c>
    </row>
    <row r="62" spans="1:18" s="53" customFormat="1" ht="29.25" customHeight="1" thickBot="1" x14ac:dyDescent="0.3">
      <c r="A62" s="198" t="s">
        <v>14</v>
      </c>
      <c r="B62" s="225"/>
      <c r="C62" s="226"/>
      <c r="D62" s="189"/>
      <c r="E62" s="189"/>
      <c r="F62" s="189"/>
      <c r="G62" s="189"/>
      <c r="H62" s="189"/>
      <c r="I62" s="189"/>
      <c r="J62" s="190"/>
      <c r="L62" s="201"/>
      <c r="N62" s="215">
        <v>0.19</v>
      </c>
      <c r="O62" s="112">
        <f t="shared" si="20"/>
        <v>0</v>
      </c>
      <c r="P62" s="112">
        <f t="shared" si="21"/>
        <v>0</v>
      </c>
      <c r="Q62" s="112">
        <f t="shared" si="22"/>
        <v>0</v>
      </c>
      <c r="R62" s="132">
        <f t="shared" si="23"/>
        <v>0</v>
      </c>
    </row>
    <row r="63" spans="1:18" s="53" customFormat="1" ht="29.25" customHeight="1" x14ac:dyDescent="0.25">
      <c r="A63" s="104" t="s">
        <v>17</v>
      </c>
      <c r="B63" s="59" t="s">
        <v>164</v>
      </c>
      <c r="C63" s="105"/>
      <c r="D63" s="233"/>
      <c r="E63" s="233"/>
      <c r="F63" s="170">
        <v>2350000</v>
      </c>
      <c r="G63" s="170">
        <v>2350000</v>
      </c>
      <c r="H63" s="170">
        <v>2150000</v>
      </c>
      <c r="I63" s="170">
        <v>650000</v>
      </c>
      <c r="J63" s="106" t="s">
        <v>233</v>
      </c>
      <c r="L63" s="135"/>
      <c r="N63" s="127">
        <v>0.19</v>
      </c>
      <c r="O63" s="128">
        <f t="shared" ref="O63:R68" si="24">ROUND($N63*F63,-3)</f>
        <v>447000</v>
      </c>
      <c r="P63" s="128">
        <f t="shared" si="24"/>
        <v>447000</v>
      </c>
      <c r="Q63" s="128">
        <f t="shared" si="24"/>
        <v>409000</v>
      </c>
      <c r="R63" s="129">
        <f t="shared" si="24"/>
        <v>124000</v>
      </c>
    </row>
    <row r="64" spans="1:18" s="53" customFormat="1" ht="29.25" customHeight="1" x14ac:dyDescent="0.25">
      <c r="A64" s="68" t="s">
        <v>17</v>
      </c>
      <c r="B64" s="56" t="s">
        <v>188</v>
      </c>
      <c r="C64" s="57">
        <v>39609</v>
      </c>
      <c r="D64" s="171"/>
      <c r="E64" s="209"/>
      <c r="F64" s="171">
        <v>600000</v>
      </c>
      <c r="G64" s="171">
        <v>600000</v>
      </c>
      <c r="H64" s="171">
        <v>600000</v>
      </c>
      <c r="I64" s="171">
        <v>600000</v>
      </c>
      <c r="J64" s="108" t="s">
        <v>235</v>
      </c>
      <c r="K64" s="119"/>
      <c r="L64" s="136"/>
      <c r="N64" s="130">
        <v>0.19</v>
      </c>
      <c r="O64" s="107">
        <f t="shared" si="24"/>
        <v>114000</v>
      </c>
      <c r="P64" s="107">
        <f t="shared" si="24"/>
        <v>114000</v>
      </c>
      <c r="Q64" s="107">
        <f t="shared" si="24"/>
        <v>114000</v>
      </c>
      <c r="R64" s="131">
        <f t="shared" si="24"/>
        <v>114000</v>
      </c>
    </row>
    <row r="65" spans="1:18" s="53" customFormat="1" ht="29.25" customHeight="1" x14ac:dyDescent="0.25">
      <c r="A65" s="68" t="s">
        <v>17</v>
      </c>
      <c r="B65" s="56" t="s">
        <v>236</v>
      </c>
      <c r="C65" s="57">
        <v>39094</v>
      </c>
      <c r="D65" s="171"/>
      <c r="E65" s="209"/>
      <c r="F65" s="171">
        <v>750000</v>
      </c>
      <c r="G65" s="171">
        <v>900000</v>
      </c>
      <c r="H65" s="171">
        <v>1000000</v>
      </c>
      <c r="I65" s="171">
        <v>1000000</v>
      </c>
      <c r="J65" s="58" t="s">
        <v>235</v>
      </c>
      <c r="L65" s="137"/>
      <c r="N65" s="130">
        <v>0.19</v>
      </c>
      <c r="O65" s="107">
        <f t="shared" si="24"/>
        <v>143000</v>
      </c>
      <c r="P65" s="107">
        <f t="shared" si="24"/>
        <v>171000</v>
      </c>
      <c r="Q65" s="107">
        <f t="shared" si="24"/>
        <v>190000</v>
      </c>
      <c r="R65" s="131">
        <f t="shared" si="24"/>
        <v>190000</v>
      </c>
    </row>
    <row r="66" spans="1:18" s="53" customFormat="1" ht="29.25" customHeight="1" x14ac:dyDescent="0.25">
      <c r="A66" s="68" t="s">
        <v>17</v>
      </c>
      <c r="B66" s="56" t="s">
        <v>18</v>
      </c>
      <c r="C66" s="57">
        <v>39052</v>
      </c>
      <c r="D66" s="171">
        <v>276060000</v>
      </c>
      <c r="E66" s="209">
        <v>7000000</v>
      </c>
      <c r="F66" s="171">
        <v>0</v>
      </c>
      <c r="G66" s="171">
        <v>121760000</v>
      </c>
      <c r="H66" s="171">
        <v>138900000</v>
      </c>
      <c r="I66" s="171">
        <v>8400000</v>
      </c>
      <c r="J66" s="58"/>
      <c r="L66" s="137">
        <v>2615697</v>
      </c>
      <c r="N66" s="130">
        <v>0.19</v>
      </c>
      <c r="O66" s="107">
        <f t="shared" si="24"/>
        <v>0</v>
      </c>
      <c r="P66" s="107">
        <f t="shared" si="24"/>
        <v>23134000</v>
      </c>
      <c r="Q66" s="107">
        <f t="shared" si="24"/>
        <v>26391000</v>
      </c>
      <c r="R66" s="131">
        <f t="shared" si="24"/>
        <v>1596000</v>
      </c>
    </row>
    <row r="67" spans="1:18" s="53" customFormat="1" ht="29.25" customHeight="1" x14ac:dyDescent="0.25">
      <c r="A67" s="68" t="s">
        <v>17</v>
      </c>
      <c r="B67" s="56" t="s">
        <v>144</v>
      </c>
      <c r="C67" s="57">
        <v>39095</v>
      </c>
      <c r="D67" s="171">
        <v>12500000</v>
      </c>
      <c r="E67" s="209">
        <v>0</v>
      </c>
      <c r="F67" s="171">
        <v>0</v>
      </c>
      <c r="G67" s="171">
        <v>0</v>
      </c>
      <c r="H67" s="171">
        <v>0</v>
      </c>
      <c r="I67" s="171">
        <v>12500000</v>
      </c>
      <c r="J67" s="58"/>
      <c r="L67" s="137"/>
      <c r="N67" s="130">
        <v>0</v>
      </c>
      <c r="O67" s="107">
        <f t="shared" si="24"/>
        <v>0</v>
      </c>
      <c r="P67" s="107">
        <f t="shared" si="24"/>
        <v>0</v>
      </c>
      <c r="Q67" s="107">
        <f t="shared" si="24"/>
        <v>0</v>
      </c>
      <c r="R67" s="131">
        <f t="shared" si="24"/>
        <v>0</v>
      </c>
    </row>
    <row r="68" spans="1:18" s="53" customFormat="1" ht="29.25" customHeight="1" x14ac:dyDescent="0.25">
      <c r="A68" s="68" t="s">
        <v>17</v>
      </c>
      <c r="B68" s="56" t="s">
        <v>210</v>
      </c>
      <c r="C68" s="57">
        <v>39100</v>
      </c>
      <c r="D68" s="171">
        <v>12500000</v>
      </c>
      <c r="E68" s="209">
        <v>0</v>
      </c>
      <c r="F68" s="171">
        <v>0</v>
      </c>
      <c r="G68" s="171">
        <v>12500000</v>
      </c>
      <c r="H68" s="171">
        <v>0</v>
      </c>
      <c r="I68" s="171">
        <v>0</v>
      </c>
      <c r="J68" s="58"/>
      <c r="L68" s="137"/>
      <c r="N68" s="130">
        <v>0</v>
      </c>
      <c r="O68" s="107">
        <f t="shared" si="24"/>
        <v>0</v>
      </c>
      <c r="P68" s="107">
        <f t="shared" si="24"/>
        <v>0</v>
      </c>
      <c r="Q68" s="107">
        <f t="shared" si="24"/>
        <v>0</v>
      </c>
      <c r="R68" s="131">
        <f t="shared" si="24"/>
        <v>0</v>
      </c>
    </row>
    <row r="69" spans="1:18" s="53" customFormat="1" ht="29.25" customHeight="1" x14ac:dyDescent="0.25">
      <c r="A69" s="68" t="s">
        <v>17</v>
      </c>
      <c r="B69" s="211"/>
      <c r="C69" s="212"/>
      <c r="D69" s="171"/>
      <c r="E69" s="171"/>
      <c r="F69" s="171"/>
      <c r="G69" s="171"/>
      <c r="H69" s="171"/>
      <c r="I69" s="171"/>
      <c r="J69" s="58"/>
      <c r="L69" s="137"/>
      <c r="N69" s="214">
        <v>0.19</v>
      </c>
      <c r="O69" s="107">
        <f t="shared" ref="O69:O71" si="25">ROUND($N69*F69,-3)</f>
        <v>0</v>
      </c>
      <c r="P69" s="107">
        <f t="shared" ref="P69:P71" si="26">ROUND($N69*G69,-3)</f>
        <v>0</v>
      </c>
      <c r="Q69" s="107">
        <f t="shared" ref="Q69:Q71" si="27">ROUND($N69*H69,-3)</f>
        <v>0</v>
      </c>
      <c r="R69" s="131">
        <f t="shared" ref="R69:R71" si="28">ROUND($N69*I69,-3)</f>
        <v>0</v>
      </c>
    </row>
    <row r="70" spans="1:18" s="53" customFormat="1" ht="29.25" customHeight="1" x14ac:dyDescent="0.25">
      <c r="A70" s="68" t="s">
        <v>17</v>
      </c>
      <c r="B70" s="211"/>
      <c r="C70" s="212"/>
      <c r="D70" s="171"/>
      <c r="E70" s="171"/>
      <c r="F70" s="171"/>
      <c r="G70" s="171"/>
      <c r="H70" s="171"/>
      <c r="I70" s="171"/>
      <c r="J70" s="58"/>
      <c r="L70" s="137"/>
      <c r="N70" s="214">
        <v>0.19</v>
      </c>
      <c r="O70" s="107">
        <f t="shared" si="25"/>
        <v>0</v>
      </c>
      <c r="P70" s="107">
        <f t="shared" si="26"/>
        <v>0</v>
      </c>
      <c r="Q70" s="107">
        <f t="shared" si="27"/>
        <v>0</v>
      </c>
      <c r="R70" s="131">
        <f t="shared" si="28"/>
        <v>0</v>
      </c>
    </row>
    <row r="71" spans="1:18" s="53" customFormat="1" ht="29.25" customHeight="1" thickBot="1" x14ac:dyDescent="0.3">
      <c r="A71" s="198" t="s">
        <v>17</v>
      </c>
      <c r="B71" s="225"/>
      <c r="C71" s="226"/>
      <c r="D71" s="189"/>
      <c r="E71" s="189"/>
      <c r="F71" s="189"/>
      <c r="G71" s="189"/>
      <c r="H71" s="189"/>
      <c r="I71" s="189"/>
      <c r="J71" s="200"/>
      <c r="L71" s="201"/>
      <c r="N71" s="215">
        <v>0.19</v>
      </c>
      <c r="O71" s="112">
        <f t="shared" si="25"/>
        <v>0</v>
      </c>
      <c r="P71" s="112">
        <f t="shared" si="26"/>
        <v>0</v>
      </c>
      <c r="Q71" s="112">
        <f t="shared" si="27"/>
        <v>0</v>
      </c>
      <c r="R71" s="132">
        <f t="shared" si="28"/>
        <v>0</v>
      </c>
    </row>
    <row r="72" spans="1:18" s="53" customFormat="1" ht="29.25" customHeight="1" x14ac:dyDescent="0.25">
      <c r="A72" s="104" t="s">
        <v>19</v>
      </c>
      <c r="B72" s="59" t="s">
        <v>165</v>
      </c>
      <c r="C72" s="105"/>
      <c r="D72" s="233"/>
      <c r="E72" s="233"/>
      <c r="F72" s="170">
        <v>7550000</v>
      </c>
      <c r="G72" s="170">
        <v>4550000</v>
      </c>
      <c r="H72" s="170">
        <v>4550000</v>
      </c>
      <c r="I72" s="170">
        <v>4550000</v>
      </c>
      <c r="J72" s="106"/>
      <c r="L72" s="135"/>
      <c r="N72" s="127">
        <v>0.19</v>
      </c>
      <c r="O72" s="128">
        <f t="shared" ref="O72:O81" si="29">ROUND($N72*F72,-3)</f>
        <v>1435000</v>
      </c>
      <c r="P72" s="128">
        <f t="shared" ref="P72:P81" si="30">ROUND($N72*G72,-3)</f>
        <v>865000</v>
      </c>
      <c r="Q72" s="128">
        <f t="shared" ref="Q72:Q81" si="31">ROUND($N72*H72,-3)</f>
        <v>865000</v>
      </c>
      <c r="R72" s="129">
        <f t="shared" ref="R72:R81" si="32">ROUND($N72*I72,-3)</f>
        <v>865000</v>
      </c>
    </row>
    <row r="73" spans="1:18" s="53" customFormat="1" ht="29.25" customHeight="1" x14ac:dyDescent="0.25">
      <c r="A73" s="68" t="s">
        <v>19</v>
      </c>
      <c r="B73" s="56" t="s">
        <v>20</v>
      </c>
      <c r="C73" s="57">
        <v>29044</v>
      </c>
      <c r="D73" s="171">
        <v>102891000</v>
      </c>
      <c r="E73" s="209">
        <v>97777000</v>
      </c>
      <c r="F73" s="171">
        <v>5114000</v>
      </c>
      <c r="G73" s="171">
        <v>0</v>
      </c>
      <c r="H73" s="171">
        <v>0</v>
      </c>
      <c r="I73" s="171">
        <v>0</v>
      </c>
      <c r="J73" s="58"/>
      <c r="L73" s="137">
        <v>64826265</v>
      </c>
      <c r="N73" s="130">
        <v>0.19</v>
      </c>
      <c r="O73" s="107">
        <f t="shared" si="29"/>
        <v>972000</v>
      </c>
      <c r="P73" s="107">
        <f t="shared" si="30"/>
        <v>0</v>
      </c>
      <c r="Q73" s="107">
        <f t="shared" si="31"/>
        <v>0</v>
      </c>
      <c r="R73" s="131">
        <f t="shared" si="32"/>
        <v>0</v>
      </c>
    </row>
    <row r="74" spans="1:18" s="53" customFormat="1" ht="29.25" customHeight="1" x14ac:dyDescent="0.25">
      <c r="A74" s="68" t="s">
        <v>19</v>
      </c>
      <c r="B74" s="56" t="s">
        <v>134</v>
      </c>
      <c r="C74" s="57">
        <v>29076</v>
      </c>
      <c r="D74" s="171">
        <v>9511000</v>
      </c>
      <c r="E74" s="209">
        <v>0</v>
      </c>
      <c r="F74" s="171">
        <v>0</v>
      </c>
      <c r="G74" s="171">
        <v>0</v>
      </c>
      <c r="H74" s="171">
        <v>0</v>
      </c>
      <c r="I74" s="171">
        <v>1000000</v>
      </c>
      <c r="J74" s="58"/>
      <c r="L74" s="137">
        <v>0</v>
      </c>
      <c r="N74" s="130">
        <v>0.19</v>
      </c>
      <c r="O74" s="107">
        <f t="shared" si="29"/>
        <v>0</v>
      </c>
      <c r="P74" s="107">
        <f t="shared" si="30"/>
        <v>0</v>
      </c>
      <c r="Q74" s="107">
        <f t="shared" si="31"/>
        <v>0</v>
      </c>
      <c r="R74" s="131">
        <f t="shared" si="32"/>
        <v>190000</v>
      </c>
    </row>
    <row r="75" spans="1:18" s="53" customFormat="1" ht="29.25" customHeight="1" x14ac:dyDescent="0.25">
      <c r="A75" s="68" t="s">
        <v>19</v>
      </c>
      <c r="B75" s="56" t="s">
        <v>213</v>
      </c>
      <c r="C75" s="57">
        <v>29070</v>
      </c>
      <c r="D75" s="171">
        <v>18500000</v>
      </c>
      <c r="E75" s="209">
        <v>0</v>
      </c>
      <c r="F75" s="171">
        <v>0</v>
      </c>
      <c r="G75" s="289">
        <v>1500000</v>
      </c>
      <c r="H75" s="289">
        <v>17000000</v>
      </c>
      <c r="I75" s="289">
        <v>0</v>
      </c>
      <c r="J75" s="290" t="s">
        <v>286</v>
      </c>
      <c r="L75" s="137">
        <v>0</v>
      </c>
      <c r="N75" s="130">
        <v>0.19</v>
      </c>
      <c r="O75" s="107">
        <f t="shared" si="29"/>
        <v>0</v>
      </c>
      <c r="P75" s="107">
        <f t="shared" si="30"/>
        <v>285000</v>
      </c>
      <c r="Q75" s="107">
        <f t="shared" si="31"/>
        <v>3230000</v>
      </c>
      <c r="R75" s="131">
        <f t="shared" si="32"/>
        <v>0</v>
      </c>
    </row>
    <row r="76" spans="1:18" s="53" customFormat="1" ht="29.25" customHeight="1" x14ac:dyDescent="0.25">
      <c r="A76" s="68" t="s">
        <v>19</v>
      </c>
      <c r="B76" s="56" t="s">
        <v>214</v>
      </c>
      <c r="C76" s="57">
        <v>29078</v>
      </c>
      <c r="D76" s="171">
        <v>14000000</v>
      </c>
      <c r="E76" s="209">
        <v>0</v>
      </c>
      <c r="F76" s="171">
        <v>0</v>
      </c>
      <c r="G76" s="171">
        <v>4000000</v>
      </c>
      <c r="H76" s="171">
        <v>10000000</v>
      </c>
      <c r="I76" s="171">
        <v>0</v>
      </c>
      <c r="J76" s="58"/>
      <c r="L76" s="137">
        <v>0</v>
      </c>
      <c r="N76" s="130">
        <v>0.19</v>
      </c>
      <c r="O76" s="107">
        <f t="shared" si="29"/>
        <v>0</v>
      </c>
      <c r="P76" s="107">
        <f t="shared" si="30"/>
        <v>760000</v>
      </c>
      <c r="Q76" s="107">
        <f t="shared" si="31"/>
        <v>1900000</v>
      </c>
      <c r="R76" s="131">
        <f t="shared" si="32"/>
        <v>0</v>
      </c>
    </row>
    <row r="77" spans="1:18" s="53" customFormat="1" ht="29.25" customHeight="1" x14ac:dyDescent="0.25">
      <c r="A77" s="68" t="s">
        <v>19</v>
      </c>
      <c r="B77" s="56" t="s">
        <v>215</v>
      </c>
      <c r="C77" s="57">
        <v>29079</v>
      </c>
      <c r="D77" s="171">
        <v>8400000</v>
      </c>
      <c r="E77" s="209">
        <v>0</v>
      </c>
      <c r="F77" s="171">
        <v>0</v>
      </c>
      <c r="G77" s="171">
        <v>0</v>
      </c>
      <c r="H77" s="171">
        <v>400000</v>
      </c>
      <c r="I77" s="171">
        <v>8000000</v>
      </c>
      <c r="J77" s="58"/>
      <c r="L77" s="137">
        <v>0</v>
      </c>
      <c r="N77" s="130">
        <v>0.19</v>
      </c>
      <c r="O77" s="107">
        <f t="shared" si="29"/>
        <v>0</v>
      </c>
      <c r="P77" s="107">
        <f t="shared" si="30"/>
        <v>0</v>
      </c>
      <c r="Q77" s="107">
        <f t="shared" si="31"/>
        <v>76000</v>
      </c>
      <c r="R77" s="131">
        <f t="shared" si="32"/>
        <v>1520000</v>
      </c>
    </row>
    <row r="78" spans="1:18" s="53" customFormat="1" ht="29.25" customHeight="1" x14ac:dyDescent="0.25">
      <c r="A78" s="68" t="s">
        <v>19</v>
      </c>
      <c r="B78" s="56" t="s">
        <v>21</v>
      </c>
      <c r="C78" s="57">
        <v>29073</v>
      </c>
      <c r="D78" s="171">
        <v>70000000</v>
      </c>
      <c r="E78" s="209">
        <v>28200000</v>
      </c>
      <c r="F78" s="171">
        <v>41800000</v>
      </c>
      <c r="G78" s="171">
        <v>0</v>
      </c>
      <c r="H78" s="171">
        <v>0</v>
      </c>
      <c r="I78" s="171">
        <v>0</v>
      </c>
      <c r="J78" s="58"/>
      <c r="L78" s="137">
        <v>9253711</v>
      </c>
      <c r="N78" s="130">
        <v>0.19</v>
      </c>
      <c r="O78" s="107">
        <f t="shared" si="29"/>
        <v>7942000</v>
      </c>
      <c r="P78" s="107">
        <f t="shared" si="30"/>
        <v>0</v>
      </c>
      <c r="Q78" s="107">
        <f t="shared" si="31"/>
        <v>0</v>
      </c>
      <c r="R78" s="131">
        <f t="shared" si="32"/>
        <v>0</v>
      </c>
    </row>
    <row r="79" spans="1:18" s="53" customFormat="1" ht="29.25" customHeight="1" x14ac:dyDescent="0.25">
      <c r="A79" s="68" t="s">
        <v>19</v>
      </c>
      <c r="B79" s="56" t="s">
        <v>22</v>
      </c>
      <c r="C79" s="57">
        <v>29602</v>
      </c>
      <c r="D79" s="171"/>
      <c r="E79" s="209"/>
      <c r="F79" s="171">
        <v>1852000</v>
      </c>
      <c r="G79" s="171">
        <v>3216000</v>
      </c>
      <c r="H79" s="171">
        <v>2394000</v>
      </c>
      <c r="I79" s="171">
        <v>2202000</v>
      </c>
      <c r="J79" s="108" t="s">
        <v>235</v>
      </c>
      <c r="K79" s="119"/>
      <c r="L79" s="136"/>
      <c r="N79" s="130">
        <v>0.19</v>
      </c>
      <c r="O79" s="107">
        <f t="shared" si="29"/>
        <v>352000</v>
      </c>
      <c r="P79" s="107">
        <f t="shared" si="30"/>
        <v>611000</v>
      </c>
      <c r="Q79" s="107">
        <f t="shared" si="31"/>
        <v>455000</v>
      </c>
      <c r="R79" s="131">
        <f t="shared" si="32"/>
        <v>418000</v>
      </c>
    </row>
    <row r="80" spans="1:18" s="53" customFormat="1" ht="29.25" customHeight="1" x14ac:dyDescent="0.25">
      <c r="A80" s="68" t="s">
        <v>19</v>
      </c>
      <c r="B80" s="56" t="s">
        <v>23</v>
      </c>
      <c r="C80" s="57">
        <v>29001</v>
      </c>
      <c r="D80" s="171">
        <v>202000000</v>
      </c>
      <c r="E80" s="209">
        <v>0</v>
      </c>
      <c r="F80" s="171">
        <v>0</v>
      </c>
      <c r="G80" s="171">
        <v>0</v>
      </c>
      <c r="H80" s="171">
        <v>2000000</v>
      </c>
      <c r="I80" s="171">
        <v>70000000</v>
      </c>
      <c r="J80" s="58"/>
      <c r="L80" s="137">
        <v>0</v>
      </c>
      <c r="N80" s="130">
        <v>0.19</v>
      </c>
      <c r="O80" s="107">
        <f t="shared" si="29"/>
        <v>0</v>
      </c>
      <c r="P80" s="107">
        <f t="shared" si="30"/>
        <v>0</v>
      </c>
      <c r="Q80" s="107">
        <f t="shared" si="31"/>
        <v>380000</v>
      </c>
      <c r="R80" s="131">
        <f t="shared" si="32"/>
        <v>13300000</v>
      </c>
    </row>
    <row r="81" spans="1:18" s="53" customFormat="1" ht="29.25" customHeight="1" x14ac:dyDescent="0.25">
      <c r="A81" s="68" t="s">
        <v>19</v>
      </c>
      <c r="B81" s="56" t="s">
        <v>24</v>
      </c>
      <c r="C81" s="57">
        <v>29060</v>
      </c>
      <c r="D81" s="171">
        <v>30000000</v>
      </c>
      <c r="E81" s="209">
        <v>880000</v>
      </c>
      <c r="F81" s="171">
        <v>14620000</v>
      </c>
      <c r="G81" s="171">
        <v>14500000</v>
      </c>
      <c r="H81" s="171">
        <v>0</v>
      </c>
      <c r="I81" s="171">
        <v>0</v>
      </c>
      <c r="J81" s="58"/>
      <c r="L81" s="137">
        <v>799450</v>
      </c>
      <c r="N81" s="130">
        <v>0.19</v>
      </c>
      <c r="O81" s="107">
        <f t="shared" si="29"/>
        <v>2778000</v>
      </c>
      <c r="P81" s="107">
        <f t="shared" si="30"/>
        <v>2755000</v>
      </c>
      <c r="Q81" s="107">
        <f t="shared" si="31"/>
        <v>0</v>
      </c>
      <c r="R81" s="131">
        <f t="shared" si="32"/>
        <v>0</v>
      </c>
    </row>
    <row r="82" spans="1:18" s="53" customFormat="1" ht="29.25" customHeight="1" x14ac:dyDescent="0.25">
      <c r="A82" s="68" t="s">
        <v>19</v>
      </c>
      <c r="B82" s="56" t="s">
        <v>25</v>
      </c>
      <c r="C82" s="57">
        <v>29620</v>
      </c>
      <c r="D82" s="171"/>
      <c r="E82" s="209">
        <v>250000</v>
      </c>
      <c r="F82" s="171">
        <v>250000</v>
      </c>
      <c r="G82" s="171">
        <v>250000</v>
      </c>
      <c r="H82" s="171">
        <v>250000</v>
      </c>
      <c r="I82" s="171">
        <v>250000</v>
      </c>
      <c r="J82" s="58" t="s">
        <v>235</v>
      </c>
      <c r="L82" s="137"/>
      <c r="N82" s="130">
        <v>0.19</v>
      </c>
      <c r="O82" s="107">
        <f>ROUND($N82*F82,-3)</f>
        <v>48000</v>
      </c>
      <c r="P82" s="107">
        <f t="shared" ref="P82:R82" si="33">ROUND($N82*G82,-3)</f>
        <v>48000</v>
      </c>
      <c r="Q82" s="107">
        <f t="shared" si="33"/>
        <v>48000</v>
      </c>
      <c r="R82" s="131">
        <f t="shared" si="33"/>
        <v>48000</v>
      </c>
    </row>
    <row r="83" spans="1:18" s="53" customFormat="1" ht="29.25" customHeight="1" x14ac:dyDescent="0.25">
      <c r="A83" s="68" t="s">
        <v>19</v>
      </c>
      <c r="B83" s="211"/>
      <c r="C83" s="212"/>
      <c r="D83" s="171"/>
      <c r="E83" s="171"/>
      <c r="F83" s="171"/>
      <c r="G83" s="171"/>
      <c r="H83" s="171"/>
      <c r="I83" s="171"/>
      <c r="J83" s="58"/>
      <c r="L83" s="137"/>
      <c r="N83" s="214">
        <v>0.19</v>
      </c>
      <c r="O83" s="107">
        <f t="shared" ref="O83:O85" si="34">ROUND($N83*F83,-3)</f>
        <v>0</v>
      </c>
      <c r="P83" s="107">
        <f t="shared" ref="P83:P85" si="35">ROUND($N83*G83,-3)</f>
        <v>0</v>
      </c>
      <c r="Q83" s="107">
        <f t="shared" ref="Q83:Q85" si="36">ROUND($N83*H83,-3)</f>
        <v>0</v>
      </c>
      <c r="R83" s="131">
        <f t="shared" ref="R83:R85" si="37">ROUND($N83*I83,-3)</f>
        <v>0</v>
      </c>
    </row>
    <row r="84" spans="1:18" s="53" customFormat="1" ht="29.25" customHeight="1" x14ac:dyDescent="0.25">
      <c r="A84" s="68" t="s">
        <v>19</v>
      </c>
      <c r="B84" s="211"/>
      <c r="C84" s="212"/>
      <c r="D84" s="171"/>
      <c r="E84" s="171"/>
      <c r="F84" s="171"/>
      <c r="G84" s="171"/>
      <c r="H84" s="171"/>
      <c r="I84" s="171"/>
      <c r="J84" s="58"/>
      <c r="L84" s="137"/>
      <c r="N84" s="214">
        <v>0.19</v>
      </c>
      <c r="O84" s="107">
        <f t="shared" si="34"/>
        <v>0</v>
      </c>
      <c r="P84" s="107">
        <f t="shared" si="35"/>
        <v>0</v>
      </c>
      <c r="Q84" s="107">
        <f t="shared" si="36"/>
        <v>0</v>
      </c>
      <c r="R84" s="131">
        <f t="shared" si="37"/>
        <v>0</v>
      </c>
    </row>
    <row r="85" spans="1:18" s="53" customFormat="1" ht="29.25" customHeight="1" thickBot="1" x14ac:dyDescent="0.3">
      <c r="A85" s="198" t="s">
        <v>19</v>
      </c>
      <c r="B85" s="225"/>
      <c r="C85" s="226"/>
      <c r="D85" s="189"/>
      <c r="E85" s="189"/>
      <c r="F85" s="189"/>
      <c r="G85" s="189"/>
      <c r="H85" s="189"/>
      <c r="I85" s="189"/>
      <c r="J85" s="200"/>
      <c r="L85" s="201"/>
      <c r="N85" s="215">
        <v>0.19</v>
      </c>
      <c r="O85" s="112">
        <f t="shared" si="34"/>
        <v>0</v>
      </c>
      <c r="P85" s="112">
        <f t="shared" si="35"/>
        <v>0</v>
      </c>
      <c r="Q85" s="112">
        <f t="shared" si="36"/>
        <v>0</v>
      </c>
      <c r="R85" s="132">
        <f t="shared" si="37"/>
        <v>0</v>
      </c>
    </row>
    <row r="86" spans="1:18" s="53" customFormat="1" ht="29.25" customHeight="1" x14ac:dyDescent="0.25">
      <c r="A86" s="104" t="s">
        <v>26</v>
      </c>
      <c r="B86" s="59" t="s">
        <v>167</v>
      </c>
      <c r="C86" s="105"/>
      <c r="D86" s="233"/>
      <c r="E86" s="233"/>
      <c r="F86" s="170">
        <v>4500000</v>
      </c>
      <c r="G86" s="170">
        <v>4500000</v>
      </c>
      <c r="H86" s="170">
        <v>4500000</v>
      </c>
      <c r="I86" s="170">
        <v>4500000</v>
      </c>
      <c r="J86" s="106" t="s">
        <v>233</v>
      </c>
      <c r="L86" s="135"/>
      <c r="N86" s="127">
        <v>0.19</v>
      </c>
      <c r="O86" s="128">
        <f t="shared" ref="O86:R87" si="38">ROUND($N86*F86,-3)</f>
        <v>855000</v>
      </c>
      <c r="P86" s="128">
        <f t="shared" si="38"/>
        <v>855000</v>
      </c>
      <c r="Q86" s="128">
        <f t="shared" si="38"/>
        <v>855000</v>
      </c>
      <c r="R86" s="129">
        <f t="shared" si="38"/>
        <v>855000</v>
      </c>
    </row>
    <row r="87" spans="1:18" s="53" customFormat="1" ht="29.25" customHeight="1" x14ac:dyDescent="0.25">
      <c r="A87" s="68" t="s">
        <v>26</v>
      </c>
      <c r="B87" s="56" t="s">
        <v>208</v>
      </c>
      <c r="C87" s="57">
        <v>29077</v>
      </c>
      <c r="D87" s="289">
        <f>85000000-85000000</f>
        <v>0</v>
      </c>
      <c r="E87" s="209">
        <v>0</v>
      </c>
      <c r="F87" s="171">
        <v>0</v>
      </c>
      <c r="G87" s="171">
        <v>0</v>
      </c>
      <c r="H87" s="171">
        <v>0</v>
      </c>
      <c r="I87" s="289">
        <v>0</v>
      </c>
      <c r="J87" s="290" t="s">
        <v>288</v>
      </c>
      <c r="L87" s="137">
        <v>0</v>
      </c>
      <c r="N87" s="130">
        <v>0.19</v>
      </c>
      <c r="O87" s="107">
        <f t="shared" si="38"/>
        <v>0</v>
      </c>
      <c r="P87" s="107">
        <f t="shared" si="38"/>
        <v>0</v>
      </c>
      <c r="Q87" s="107">
        <f t="shared" si="38"/>
        <v>0</v>
      </c>
      <c r="R87" s="131">
        <f t="shared" si="38"/>
        <v>0</v>
      </c>
    </row>
    <row r="88" spans="1:18" s="53" customFormat="1" ht="29.25" customHeight="1" x14ac:dyDescent="0.25">
      <c r="A88" s="68" t="s">
        <v>26</v>
      </c>
      <c r="B88" s="211"/>
      <c r="C88" s="212"/>
      <c r="D88" s="171"/>
      <c r="E88" s="171"/>
      <c r="F88" s="171"/>
      <c r="G88" s="171"/>
      <c r="H88" s="171"/>
      <c r="I88" s="171"/>
      <c r="J88" s="58"/>
      <c r="L88" s="137"/>
      <c r="N88" s="214">
        <v>0.19</v>
      </c>
      <c r="O88" s="107">
        <f t="shared" ref="O88:O90" si="39">ROUND($N88*F88,-3)</f>
        <v>0</v>
      </c>
      <c r="P88" s="107">
        <f t="shared" ref="P88:P90" si="40">ROUND($N88*G88,-3)</f>
        <v>0</v>
      </c>
      <c r="Q88" s="107">
        <f t="shared" ref="Q88:Q90" si="41">ROUND($N88*H88,-3)</f>
        <v>0</v>
      </c>
      <c r="R88" s="131">
        <f t="shared" ref="R88:R90" si="42">ROUND($N88*I88,-3)</f>
        <v>0</v>
      </c>
    </row>
    <row r="89" spans="1:18" s="53" customFormat="1" ht="29.25" customHeight="1" x14ac:dyDescent="0.25">
      <c r="A89" s="68" t="s">
        <v>26</v>
      </c>
      <c r="B89" s="211"/>
      <c r="C89" s="212"/>
      <c r="D89" s="171"/>
      <c r="E89" s="171"/>
      <c r="F89" s="171"/>
      <c r="G89" s="171"/>
      <c r="H89" s="171"/>
      <c r="I89" s="171"/>
      <c r="J89" s="58"/>
      <c r="L89" s="137"/>
      <c r="N89" s="214">
        <v>0.19</v>
      </c>
      <c r="O89" s="107">
        <f t="shared" si="39"/>
        <v>0</v>
      </c>
      <c r="P89" s="107">
        <f t="shared" si="40"/>
        <v>0</v>
      </c>
      <c r="Q89" s="107">
        <f t="shared" si="41"/>
        <v>0</v>
      </c>
      <c r="R89" s="131">
        <f t="shared" si="42"/>
        <v>0</v>
      </c>
    </row>
    <row r="90" spans="1:18" s="53" customFormat="1" ht="29.25" customHeight="1" thickBot="1" x14ac:dyDescent="0.3">
      <c r="A90" s="198" t="s">
        <v>26</v>
      </c>
      <c r="B90" s="225"/>
      <c r="C90" s="226"/>
      <c r="D90" s="189"/>
      <c r="E90" s="189"/>
      <c r="F90" s="189"/>
      <c r="G90" s="189"/>
      <c r="H90" s="189"/>
      <c r="I90" s="189"/>
      <c r="J90" s="200"/>
      <c r="L90" s="201"/>
      <c r="N90" s="218">
        <v>0.19</v>
      </c>
      <c r="O90" s="202">
        <f t="shared" si="39"/>
        <v>0</v>
      </c>
      <c r="P90" s="202">
        <f t="shared" si="40"/>
        <v>0</v>
      </c>
      <c r="Q90" s="202">
        <f t="shared" si="41"/>
        <v>0</v>
      </c>
      <c r="R90" s="203">
        <f t="shared" si="42"/>
        <v>0</v>
      </c>
    </row>
    <row r="91" spans="1:18" s="53" customFormat="1" ht="29.25" customHeight="1" x14ac:dyDescent="0.25">
      <c r="A91" s="104" t="s">
        <v>27</v>
      </c>
      <c r="B91" s="59" t="s">
        <v>166</v>
      </c>
      <c r="C91" s="105"/>
      <c r="D91" s="233"/>
      <c r="E91" s="233"/>
      <c r="F91" s="170">
        <v>8500000</v>
      </c>
      <c r="G91" s="170">
        <v>3500000</v>
      </c>
      <c r="H91" s="170">
        <v>0</v>
      </c>
      <c r="I91" s="170">
        <v>0</v>
      </c>
      <c r="J91" s="106" t="s">
        <v>233</v>
      </c>
      <c r="L91" s="135"/>
      <c r="N91" s="127">
        <v>0.19</v>
      </c>
      <c r="O91" s="128">
        <f t="shared" ref="O91:R96" si="43">ROUND($N91*F91,-3)</f>
        <v>1615000</v>
      </c>
      <c r="P91" s="128">
        <f t="shared" si="43"/>
        <v>665000</v>
      </c>
      <c r="Q91" s="128">
        <f t="shared" si="43"/>
        <v>0</v>
      </c>
      <c r="R91" s="129">
        <f t="shared" si="43"/>
        <v>0</v>
      </c>
    </row>
    <row r="92" spans="1:18" s="53" customFormat="1" ht="29.25" customHeight="1" x14ac:dyDescent="0.25">
      <c r="A92" s="68" t="s">
        <v>27</v>
      </c>
      <c r="B92" s="56" t="s">
        <v>140</v>
      </c>
      <c r="C92" s="57">
        <v>49024</v>
      </c>
      <c r="D92" s="171">
        <v>13125000</v>
      </c>
      <c r="E92" s="209">
        <v>7125000</v>
      </c>
      <c r="F92" s="171">
        <v>1000000</v>
      </c>
      <c r="G92" s="171">
        <v>5000000</v>
      </c>
      <c r="H92" s="171">
        <v>0</v>
      </c>
      <c r="I92" s="171">
        <v>0</v>
      </c>
      <c r="J92" s="58"/>
      <c r="L92" s="137">
        <v>0</v>
      </c>
      <c r="N92" s="130">
        <v>0.19</v>
      </c>
      <c r="O92" s="107">
        <f t="shared" si="43"/>
        <v>190000</v>
      </c>
      <c r="P92" s="107">
        <f t="shared" si="43"/>
        <v>950000</v>
      </c>
      <c r="Q92" s="107">
        <f t="shared" si="43"/>
        <v>0</v>
      </c>
      <c r="R92" s="131">
        <f t="shared" si="43"/>
        <v>0</v>
      </c>
    </row>
    <row r="93" spans="1:18" s="53" customFormat="1" ht="29.25" customHeight="1" x14ac:dyDescent="0.25">
      <c r="A93" s="68" t="s">
        <v>27</v>
      </c>
      <c r="B93" s="56" t="s">
        <v>179</v>
      </c>
      <c r="C93" s="57">
        <v>49642</v>
      </c>
      <c r="D93" s="289">
        <v>500000</v>
      </c>
      <c r="E93" s="209">
        <v>0</v>
      </c>
      <c r="F93" s="289">
        <v>500000</v>
      </c>
      <c r="G93" s="171">
        <v>0</v>
      </c>
      <c r="H93" s="171">
        <v>0</v>
      </c>
      <c r="I93" s="171">
        <v>0</v>
      </c>
      <c r="J93" s="58"/>
      <c r="L93" s="137">
        <v>0</v>
      </c>
      <c r="N93" s="130">
        <v>0.19</v>
      </c>
      <c r="O93" s="107">
        <f>ROUND($N93*F93,-3)</f>
        <v>95000</v>
      </c>
      <c r="P93" s="107">
        <f t="shared" si="43"/>
        <v>0</v>
      </c>
      <c r="Q93" s="107">
        <f t="shared" si="43"/>
        <v>0</v>
      </c>
      <c r="R93" s="131">
        <f t="shared" si="43"/>
        <v>0</v>
      </c>
    </row>
    <row r="94" spans="1:18" s="53" customFormat="1" ht="29.25" customHeight="1" x14ac:dyDescent="0.25">
      <c r="A94" s="68" t="s">
        <v>27</v>
      </c>
      <c r="B94" s="56" t="s">
        <v>181</v>
      </c>
      <c r="C94" s="57">
        <v>49646</v>
      </c>
      <c r="D94" s="171">
        <v>300000</v>
      </c>
      <c r="E94" s="209">
        <v>0</v>
      </c>
      <c r="F94" s="171">
        <v>300000</v>
      </c>
      <c r="G94" s="171">
        <v>0</v>
      </c>
      <c r="H94" s="171">
        <v>0</v>
      </c>
      <c r="I94" s="171">
        <v>0</v>
      </c>
      <c r="J94" s="108"/>
      <c r="K94" s="119"/>
      <c r="L94" s="136">
        <v>0</v>
      </c>
      <c r="N94" s="130">
        <v>0.19</v>
      </c>
      <c r="O94" s="107">
        <f t="shared" si="43"/>
        <v>57000</v>
      </c>
      <c r="P94" s="107">
        <f t="shared" si="43"/>
        <v>0</v>
      </c>
      <c r="Q94" s="107">
        <f t="shared" si="43"/>
        <v>0</v>
      </c>
      <c r="R94" s="131">
        <f t="shared" si="43"/>
        <v>0</v>
      </c>
    </row>
    <row r="95" spans="1:18" s="53" customFormat="1" ht="29.25" customHeight="1" x14ac:dyDescent="0.25">
      <c r="A95" s="68" t="s">
        <v>27</v>
      </c>
      <c r="B95" s="56" t="s">
        <v>28</v>
      </c>
      <c r="C95" s="57">
        <v>49604</v>
      </c>
      <c r="D95" s="171">
        <v>6145000</v>
      </c>
      <c r="E95" s="209">
        <v>825000</v>
      </c>
      <c r="F95" s="171">
        <v>0</v>
      </c>
      <c r="G95" s="171">
        <v>5320000</v>
      </c>
      <c r="H95" s="171">
        <v>0</v>
      </c>
      <c r="I95" s="171">
        <v>0</v>
      </c>
      <c r="J95" s="58"/>
      <c r="L95" s="137">
        <v>1253695</v>
      </c>
      <c r="N95" s="130">
        <v>0</v>
      </c>
      <c r="O95" s="107">
        <f t="shared" si="43"/>
        <v>0</v>
      </c>
      <c r="P95" s="107">
        <f t="shared" si="43"/>
        <v>0</v>
      </c>
      <c r="Q95" s="107">
        <f t="shared" si="43"/>
        <v>0</v>
      </c>
      <c r="R95" s="131">
        <f t="shared" si="43"/>
        <v>0</v>
      </c>
    </row>
    <row r="96" spans="1:18" s="53" customFormat="1" ht="29.25" customHeight="1" x14ac:dyDescent="0.25">
      <c r="A96" s="68" t="s">
        <v>27</v>
      </c>
      <c r="B96" s="56" t="s">
        <v>154</v>
      </c>
      <c r="C96" s="57">
        <v>59364</v>
      </c>
      <c r="D96" s="171">
        <v>11000000</v>
      </c>
      <c r="E96" s="209">
        <v>0</v>
      </c>
      <c r="F96" s="171">
        <v>0</v>
      </c>
      <c r="G96" s="171">
        <v>5500000</v>
      </c>
      <c r="H96" s="171">
        <v>5500000</v>
      </c>
      <c r="I96" s="171">
        <v>0</v>
      </c>
      <c r="J96" s="108"/>
      <c r="K96" s="119"/>
      <c r="L96" s="136">
        <v>0</v>
      </c>
      <c r="N96" s="130">
        <v>0</v>
      </c>
      <c r="O96" s="107">
        <f t="shared" si="43"/>
        <v>0</v>
      </c>
      <c r="P96" s="107">
        <f t="shared" si="43"/>
        <v>0</v>
      </c>
      <c r="Q96" s="107">
        <f t="shared" si="43"/>
        <v>0</v>
      </c>
      <c r="R96" s="131">
        <f t="shared" si="43"/>
        <v>0</v>
      </c>
    </row>
    <row r="97" spans="1:18" s="53" customFormat="1" ht="29.25" customHeight="1" x14ac:dyDescent="0.25">
      <c r="A97" s="68" t="s">
        <v>27</v>
      </c>
      <c r="B97" s="293" t="s">
        <v>290</v>
      </c>
      <c r="C97" s="212"/>
      <c r="D97" s="289">
        <v>250000</v>
      </c>
      <c r="E97" s="171"/>
      <c r="F97" s="289">
        <v>250000</v>
      </c>
      <c r="G97" s="171"/>
      <c r="H97" s="171"/>
      <c r="I97" s="171"/>
      <c r="J97" s="291" t="s">
        <v>291</v>
      </c>
      <c r="K97" s="119"/>
      <c r="L97" s="136"/>
      <c r="N97" s="214">
        <v>0.19</v>
      </c>
      <c r="O97" s="107">
        <f t="shared" ref="O97:O99" si="44">ROUND($N97*F97,-3)</f>
        <v>48000</v>
      </c>
      <c r="P97" s="107">
        <f t="shared" ref="P97:P99" si="45">ROUND($N97*G97,-3)</f>
        <v>0</v>
      </c>
      <c r="Q97" s="107">
        <f t="shared" ref="Q97:Q99" si="46">ROUND($N97*H97,-3)</f>
        <v>0</v>
      </c>
      <c r="R97" s="131">
        <f t="shared" ref="R97:R99" si="47">ROUND($N97*I97,-3)</f>
        <v>0</v>
      </c>
    </row>
    <row r="98" spans="1:18" s="53" customFormat="1" ht="29.25" customHeight="1" x14ac:dyDescent="0.25">
      <c r="A98" s="68" t="s">
        <v>27</v>
      </c>
      <c r="B98" s="211"/>
      <c r="C98" s="212"/>
      <c r="D98" s="171"/>
      <c r="E98" s="171"/>
      <c r="F98" s="171"/>
      <c r="G98" s="171"/>
      <c r="H98" s="171"/>
      <c r="I98" s="171"/>
      <c r="J98" s="108"/>
      <c r="K98" s="119"/>
      <c r="L98" s="136"/>
      <c r="N98" s="214">
        <v>0.19</v>
      </c>
      <c r="O98" s="107">
        <f t="shared" si="44"/>
        <v>0</v>
      </c>
      <c r="P98" s="107">
        <f t="shared" si="45"/>
        <v>0</v>
      </c>
      <c r="Q98" s="107">
        <f t="shared" si="46"/>
        <v>0</v>
      </c>
      <c r="R98" s="131">
        <f t="shared" si="47"/>
        <v>0</v>
      </c>
    </row>
    <row r="99" spans="1:18" s="53" customFormat="1" ht="29.25" customHeight="1" thickBot="1" x14ac:dyDescent="0.3">
      <c r="A99" s="198" t="s">
        <v>27</v>
      </c>
      <c r="B99" s="225"/>
      <c r="C99" s="226"/>
      <c r="D99" s="189"/>
      <c r="E99" s="189"/>
      <c r="F99" s="189"/>
      <c r="G99" s="189"/>
      <c r="H99" s="189"/>
      <c r="I99" s="189"/>
      <c r="J99" s="190"/>
      <c r="K99" s="119"/>
      <c r="L99" s="227"/>
      <c r="N99" s="218">
        <v>0.19</v>
      </c>
      <c r="O99" s="202">
        <f t="shared" si="44"/>
        <v>0</v>
      </c>
      <c r="P99" s="202">
        <f t="shared" si="45"/>
        <v>0</v>
      </c>
      <c r="Q99" s="202">
        <f t="shared" si="46"/>
        <v>0</v>
      </c>
      <c r="R99" s="203">
        <f t="shared" si="47"/>
        <v>0</v>
      </c>
    </row>
    <row r="100" spans="1:18" s="53" customFormat="1" ht="29.25" customHeight="1" x14ac:dyDescent="0.25">
      <c r="A100" s="104" t="s">
        <v>29</v>
      </c>
      <c r="B100" s="59" t="s">
        <v>227</v>
      </c>
      <c r="C100" s="105">
        <v>59101</v>
      </c>
      <c r="D100" s="170"/>
      <c r="E100" s="233">
        <v>2800000</v>
      </c>
      <c r="F100" s="170">
        <v>800000</v>
      </c>
      <c r="G100" s="170">
        <v>1000000</v>
      </c>
      <c r="H100" s="170">
        <v>1000000</v>
      </c>
      <c r="I100" s="170">
        <v>1000000</v>
      </c>
      <c r="J100" s="106" t="s">
        <v>235</v>
      </c>
      <c r="L100" s="135"/>
      <c r="N100" s="127">
        <v>0</v>
      </c>
      <c r="O100" s="128">
        <f t="shared" ref="O100:O126" si="48">ROUND($N100*F100,-3)</f>
        <v>0</v>
      </c>
      <c r="P100" s="128">
        <f t="shared" ref="P100:P126" si="49">ROUND($N100*G100,-3)</f>
        <v>0</v>
      </c>
      <c r="Q100" s="128">
        <f t="shared" ref="Q100:Q126" si="50">ROUND($N100*H100,-3)</f>
        <v>0</v>
      </c>
      <c r="R100" s="129">
        <f t="shared" ref="R100:R126" si="51">ROUND($N100*I100,-3)</f>
        <v>0</v>
      </c>
    </row>
    <row r="101" spans="1:18" s="53" customFormat="1" ht="29.25" customHeight="1" x14ac:dyDescent="0.25">
      <c r="A101" s="68" t="s">
        <v>29</v>
      </c>
      <c r="B101" s="56" t="s">
        <v>168</v>
      </c>
      <c r="C101" s="57">
        <v>59341</v>
      </c>
      <c r="D101" s="171">
        <v>3000000</v>
      </c>
      <c r="E101" s="209">
        <v>0</v>
      </c>
      <c r="F101" s="171">
        <v>3000000</v>
      </c>
      <c r="G101" s="171">
        <v>0</v>
      </c>
      <c r="H101" s="171">
        <v>0</v>
      </c>
      <c r="I101" s="171">
        <v>0</v>
      </c>
      <c r="J101" s="58" t="s">
        <v>238</v>
      </c>
      <c r="L101" s="137">
        <v>20445</v>
      </c>
      <c r="N101" s="130">
        <v>0</v>
      </c>
      <c r="O101" s="107">
        <f t="shared" si="48"/>
        <v>0</v>
      </c>
      <c r="P101" s="107">
        <f t="shared" si="49"/>
        <v>0</v>
      </c>
      <c r="Q101" s="107">
        <f t="shared" si="50"/>
        <v>0</v>
      </c>
      <c r="R101" s="131">
        <f t="shared" si="51"/>
        <v>0</v>
      </c>
    </row>
    <row r="102" spans="1:18" s="53" customFormat="1" ht="29.25" customHeight="1" x14ac:dyDescent="0.25">
      <c r="A102" s="68" t="s">
        <v>29</v>
      </c>
      <c r="B102" s="56" t="s">
        <v>168</v>
      </c>
      <c r="C102" s="57">
        <v>59341</v>
      </c>
      <c r="D102" s="171">
        <v>2000000</v>
      </c>
      <c r="E102" s="209">
        <v>0</v>
      </c>
      <c r="F102" s="171">
        <v>2000000</v>
      </c>
      <c r="G102" s="171">
        <v>0</v>
      </c>
      <c r="H102" s="171">
        <v>0</v>
      </c>
      <c r="I102" s="171">
        <v>0</v>
      </c>
      <c r="J102" s="58" t="s">
        <v>239</v>
      </c>
      <c r="L102" s="137">
        <v>75905</v>
      </c>
      <c r="N102" s="130">
        <v>0</v>
      </c>
      <c r="O102" s="107">
        <f t="shared" si="48"/>
        <v>0</v>
      </c>
      <c r="P102" s="107">
        <f t="shared" si="49"/>
        <v>0</v>
      </c>
      <c r="Q102" s="107">
        <f t="shared" si="50"/>
        <v>0</v>
      </c>
      <c r="R102" s="131">
        <f t="shared" si="51"/>
        <v>0</v>
      </c>
    </row>
    <row r="103" spans="1:18" s="53" customFormat="1" ht="29.25" customHeight="1" x14ac:dyDescent="0.25">
      <c r="A103" s="68" t="s">
        <v>29</v>
      </c>
      <c r="B103" s="56" t="s">
        <v>30</v>
      </c>
      <c r="C103" s="57">
        <v>59206</v>
      </c>
      <c r="D103" s="171"/>
      <c r="E103" s="209">
        <v>250000</v>
      </c>
      <c r="F103" s="171">
        <v>250000</v>
      </c>
      <c r="G103" s="171">
        <v>250000</v>
      </c>
      <c r="H103" s="171">
        <v>250000</v>
      </c>
      <c r="I103" s="171">
        <v>250000</v>
      </c>
      <c r="J103" s="58" t="s">
        <v>235</v>
      </c>
      <c r="L103" s="137"/>
      <c r="N103" s="130">
        <v>0</v>
      </c>
      <c r="O103" s="107">
        <f t="shared" si="48"/>
        <v>0</v>
      </c>
      <c r="P103" s="107">
        <f t="shared" si="49"/>
        <v>0</v>
      </c>
      <c r="Q103" s="107">
        <f t="shared" si="50"/>
        <v>0</v>
      </c>
      <c r="R103" s="131">
        <f t="shared" si="51"/>
        <v>0</v>
      </c>
    </row>
    <row r="104" spans="1:18" s="53" customFormat="1" ht="29.25" customHeight="1" x14ac:dyDescent="0.25">
      <c r="A104" s="68" t="s">
        <v>29</v>
      </c>
      <c r="B104" s="56" t="s">
        <v>31</v>
      </c>
      <c r="C104" s="57">
        <v>59327</v>
      </c>
      <c r="D104" s="171">
        <v>6150000</v>
      </c>
      <c r="E104" s="209">
        <v>0</v>
      </c>
      <c r="F104" s="171">
        <v>0</v>
      </c>
      <c r="G104" s="171">
        <v>0</v>
      </c>
      <c r="H104" s="171">
        <v>0</v>
      </c>
      <c r="I104" s="171">
        <v>1900000</v>
      </c>
      <c r="J104" s="58" t="s">
        <v>238</v>
      </c>
      <c r="L104" s="137">
        <v>0</v>
      </c>
      <c r="N104" s="130">
        <v>0</v>
      </c>
      <c r="O104" s="107">
        <f t="shared" si="48"/>
        <v>0</v>
      </c>
      <c r="P104" s="107">
        <f t="shared" si="49"/>
        <v>0</v>
      </c>
      <c r="Q104" s="107">
        <f t="shared" si="50"/>
        <v>0</v>
      </c>
      <c r="R104" s="131">
        <f t="shared" si="51"/>
        <v>0</v>
      </c>
    </row>
    <row r="105" spans="1:18" s="53" customFormat="1" ht="29.25" customHeight="1" x14ac:dyDescent="0.25">
      <c r="A105" s="68" t="s">
        <v>29</v>
      </c>
      <c r="B105" s="56" t="s">
        <v>31</v>
      </c>
      <c r="C105" s="57">
        <v>59327</v>
      </c>
      <c r="D105" s="171">
        <v>4400000</v>
      </c>
      <c r="E105" s="209">
        <v>0</v>
      </c>
      <c r="F105" s="171">
        <v>0</v>
      </c>
      <c r="G105" s="171">
        <v>0</v>
      </c>
      <c r="H105" s="171">
        <v>0</v>
      </c>
      <c r="I105" s="171">
        <v>1400000</v>
      </c>
      <c r="J105" s="58" t="s">
        <v>239</v>
      </c>
      <c r="L105" s="137">
        <v>7306</v>
      </c>
      <c r="N105" s="130">
        <v>0</v>
      </c>
      <c r="O105" s="107">
        <f t="shared" si="48"/>
        <v>0</v>
      </c>
      <c r="P105" s="107">
        <f t="shared" si="49"/>
        <v>0</v>
      </c>
      <c r="Q105" s="107">
        <f t="shared" si="50"/>
        <v>0</v>
      </c>
      <c r="R105" s="131">
        <f t="shared" si="51"/>
        <v>0</v>
      </c>
    </row>
    <row r="106" spans="1:18" s="53" customFormat="1" ht="29.25" customHeight="1" x14ac:dyDescent="0.25">
      <c r="A106" s="68" t="s">
        <v>29</v>
      </c>
      <c r="B106" s="56" t="s">
        <v>228</v>
      </c>
      <c r="C106" s="57">
        <v>59335</v>
      </c>
      <c r="D106" s="171"/>
      <c r="E106" s="209"/>
      <c r="F106" s="171">
        <v>750000</v>
      </c>
      <c r="G106" s="171">
        <v>500000</v>
      </c>
      <c r="H106" s="171">
        <v>500000</v>
      </c>
      <c r="I106" s="171">
        <v>500000</v>
      </c>
      <c r="J106" s="58" t="s">
        <v>240</v>
      </c>
      <c r="L106" s="137"/>
      <c r="N106" s="130">
        <v>0</v>
      </c>
      <c r="O106" s="107">
        <f t="shared" si="48"/>
        <v>0</v>
      </c>
      <c r="P106" s="107">
        <f t="shared" si="49"/>
        <v>0</v>
      </c>
      <c r="Q106" s="107">
        <f t="shared" si="50"/>
        <v>0</v>
      </c>
      <c r="R106" s="131">
        <f t="shared" si="51"/>
        <v>0</v>
      </c>
    </row>
    <row r="107" spans="1:18" s="53" customFormat="1" ht="29.25" customHeight="1" x14ac:dyDescent="0.25">
      <c r="A107" s="68" t="s">
        <v>29</v>
      </c>
      <c r="B107" s="56" t="s">
        <v>171</v>
      </c>
      <c r="C107" s="57">
        <v>59335</v>
      </c>
      <c r="D107" s="171"/>
      <c r="E107" s="209"/>
      <c r="F107" s="171">
        <v>750000</v>
      </c>
      <c r="G107" s="171">
        <v>500000</v>
      </c>
      <c r="H107" s="171">
        <v>500000</v>
      </c>
      <c r="I107" s="171">
        <v>500000</v>
      </c>
      <c r="J107" s="58" t="s">
        <v>241</v>
      </c>
      <c r="L107" s="137"/>
      <c r="N107" s="130">
        <v>0</v>
      </c>
      <c r="O107" s="107">
        <f t="shared" si="48"/>
        <v>0</v>
      </c>
      <c r="P107" s="107">
        <f t="shared" si="49"/>
        <v>0</v>
      </c>
      <c r="Q107" s="107">
        <f t="shared" si="50"/>
        <v>0</v>
      </c>
      <c r="R107" s="131">
        <f t="shared" si="51"/>
        <v>0</v>
      </c>
    </row>
    <row r="108" spans="1:18" s="53" customFormat="1" ht="29.25" customHeight="1" x14ac:dyDescent="0.25">
      <c r="A108" s="68" t="s">
        <v>29</v>
      </c>
      <c r="B108" s="56" t="s">
        <v>32</v>
      </c>
      <c r="C108" s="57">
        <v>59337</v>
      </c>
      <c r="D108" s="171"/>
      <c r="E108" s="209"/>
      <c r="F108" s="171">
        <v>350000</v>
      </c>
      <c r="G108" s="171">
        <v>150000</v>
      </c>
      <c r="H108" s="171">
        <v>350000</v>
      </c>
      <c r="I108" s="171">
        <v>150000</v>
      </c>
      <c r="J108" s="58" t="s">
        <v>235</v>
      </c>
      <c r="L108" s="137"/>
      <c r="N108" s="130">
        <v>0</v>
      </c>
      <c r="O108" s="107">
        <f t="shared" si="48"/>
        <v>0</v>
      </c>
      <c r="P108" s="107">
        <f t="shared" si="49"/>
        <v>0</v>
      </c>
      <c r="Q108" s="107">
        <f t="shared" si="50"/>
        <v>0</v>
      </c>
      <c r="R108" s="131">
        <f t="shared" si="51"/>
        <v>0</v>
      </c>
    </row>
    <row r="109" spans="1:18" s="53" customFormat="1" ht="29.25" customHeight="1" x14ac:dyDescent="0.25">
      <c r="A109" s="68" t="s">
        <v>29</v>
      </c>
      <c r="B109" s="56" t="s">
        <v>145</v>
      </c>
      <c r="C109" s="57">
        <v>59352</v>
      </c>
      <c r="D109" s="171">
        <v>11375000</v>
      </c>
      <c r="E109" s="209">
        <v>3050000</v>
      </c>
      <c r="F109" s="171">
        <v>8000000</v>
      </c>
      <c r="G109" s="171">
        <v>325000</v>
      </c>
      <c r="H109" s="171">
        <v>0</v>
      </c>
      <c r="I109" s="171">
        <v>0</v>
      </c>
      <c r="J109" s="58" t="s">
        <v>238</v>
      </c>
      <c r="L109" s="137">
        <v>23800</v>
      </c>
      <c r="N109" s="130">
        <v>0</v>
      </c>
      <c r="O109" s="107">
        <f t="shared" si="48"/>
        <v>0</v>
      </c>
      <c r="P109" s="107">
        <f t="shared" si="49"/>
        <v>0</v>
      </c>
      <c r="Q109" s="107">
        <f t="shared" si="50"/>
        <v>0</v>
      </c>
      <c r="R109" s="131">
        <f t="shared" si="51"/>
        <v>0</v>
      </c>
    </row>
    <row r="110" spans="1:18" s="53" customFormat="1" ht="29.25" customHeight="1" x14ac:dyDescent="0.25">
      <c r="A110" s="68" t="s">
        <v>29</v>
      </c>
      <c r="B110" s="56" t="s">
        <v>145</v>
      </c>
      <c r="C110" s="57">
        <v>59352</v>
      </c>
      <c r="D110" s="171">
        <v>11275000</v>
      </c>
      <c r="E110" s="209">
        <v>2950000</v>
      </c>
      <c r="F110" s="171">
        <v>8000000</v>
      </c>
      <c r="G110" s="171">
        <v>325000</v>
      </c>
      <c r="H110" s="171">
        <v>0</v>
      </c>
      <c r="I110" s="171">
        <v>0</v>
      </c>
      <c r="J110" s="58" t="s">
        <v>239</v>
      </c>
      <c r="L110" s="137">
        <v>544279</v>
      </c>
      <c r="N110" s="130">
        <v>0</v>
      </c>
      <c r="O110" s="107">
        <f t="shared" si="48"/>
        <v>0</v>
      </c>
      <c r="P110" s="107">
        <f t="shared" si="49"/>
        <v>0</v>
      </c>
      <c r="Q110" s="107">
        <f t="shared" si="50"/>
        <v>0</v>
      </c>
      <c r="R110" s="131">
        <f t="shared" si="51"/>
        <v>0</v>
      </c>
    </row>
    <row r="111" spans="1:18" s="53" customFormat="1" ht="29.25" customHeight="1" x14ac:dyDescent="0.25">
      <c r="A111" s="68" t="s">
        <v>29</v>
      </c>
      <c r="B111" s="56" t="s">
        <v>229</v>
      </c>
      <c r="C111" s="57">
        <v>59356</v>
      </c>
      <c r="D111" s="171"/>
      <c r="E111" s="209"/>
      <c r="F111" s="171">
        <v>250000</v>
      </c>
      <c r="G111" s="171">
        <v>250000</v>
      </c>
      <c r="H111" s="171">
        <v>250000</v>
      </c>
      <c r="I111" s="171">
        <v>250000</v>
      </c>
      <c r="J111" s="58" t="s">
        <v>240</v>
      </c>
      <c r="L111" s="137"/>
      <c r="N111" s="130">
        <v>0</v>
      </c>
      <c r="O111" s="107">
        <f t="shared" si="48"/>
        <v>0</v>
      </c>
      <c r="P111" s="107">
        <f t="shared" si="49"/>
        <v>0</v>
      </c>
      <c r="Q111" s="107">
        <f t="shared" si="50"/>
        <v>0</v>
      </c>
      <c r="R111" s="131">
        <f t="shared" si="51"/>
        <v>0</v>
      </c>
    </row>
    <row r="112" spans="1:18" s="53" customFormat="1" ht="29.25" customHeight="1" x14ac:dyDescent="0.25">
      <c r="A112" s="68" t="s">
        <v>29</v>
      </c>
      <c r="B112" s="56" t="s">
        <v>172</v>
      </c>
      <c r="C112" s="57">
        <v>59356</v>
      </c>
      <c r="D112" s="171"/>
      <c r="E112" s="209"/>
      <c r="F112" s="171">
        <v>250000</v>
      </c>
      <c r="G112" s="171">
        <v>250000</v>
      </c>
      <c r="H112" s="171">
        <v>250000</v>
      </c>
      <c r="I112" s="171">
        <v>250000</v>
      </c>
      <c r="J112" s="58" t="s">
        <v>241</v>
      </c>
      <c r="L112" s="137"/>
      <c r="N112" s="130">
        <v>0</v>
      </c>
      <c r="O112" s="107">
        <f t="shared" si="48"/>
        <v>0</v>
      </c>
      <c r="P112" s="107">
        <f t="shared" si="49"/>
        <v>0</v>
      </c>
      <c r="Q112" s="107">
        <f t="shared" si="50"/>
        <v>0</v>
      </c>
      <c r="R112" s="131">
        <f t="shared" si="51"/>
        <v>0</v>
      </c>
    </row>
    <row r="113" spans="1:18" s="53" customFormat="1" ht="29.25" customHeight="1" x14ac:dyDescent="0.25">
      <c r="A113" s="68" t="s">
        <v>29</v>
      </c>
      <c r="B113" s="56" t="s">
        <v>33</v>
      </c>
      <c r="C113" s="57">
        <v>59359</v>
      </c>
      <c r="D113" s="171">
        <v>6000000</v>
      </c>
      <c r="E113" s="209">
        <v>0</v>
      </c>
      <c r="F113" s="171">
        <v>0</v>
      </c>
      <c r="G113" s="171">
        <v>0</v>
      </c>
      <c r="H113" s="171">
        <v>400000</v>
      </c>
      <c r="I113" s="171">
        <v>4600000</v>
      </c>
      <c r="J113" s="58" t="s">
        <v>238</v>
      </c>
      <c r="L113" s="137">
        <v>0</v>
      </c>
      <c r="N113" s="130">
        <v>0</v>
      </c>
      <c r="O113" s="107">
        <f t="shared" si="48"/>
        <v>0</v>
      </c>
      <c r="P113" s="107">
        <f t="shared" si="49"/>
        <v>0</v>
      </c>
      <c r="Q113" s="107">
        <f t="shared" si="50"/>
        <v>0</v>
      </c>
      <c r="R113" s="131">
        <f t="shared" si="51"/>
        <v>0</v>
      </c>
    </row>
    <row r="114" spans="1:18" s="53" customFormat="1" ht="29.25" customHeight="1" x14ac:dyDescent="0.25">
      <c r="A114" s="68" t="s">
        <v>29</v>
      </c>
      <c r="B114" s="56" t="s">
        <v>33</v>
      </c>
      <c r="C114" s="57">
        <v>59359</v>
      </c>
      <c r="D114" s="171">
        <v>12400000</v>
      </c>
      <c r="E114" s="209">
        <v>0</v>
      </c>
      <c r="F114" s="171">
        <v>0</v>
      </c>
      <c r="G114" s="171">
        <v>0</v>
      </c>
      <c r="H114" s="171">
        <v>800000</v>
      </c>
      <c r="I114" s="171">
        <v>9400000</v>
      </c>
      <c r="J114" s="58" t="s">
        <v>239</v>
      </c>
      <c r="L114" s="137">
        <v>0</v>
      </c>
      <c r="N114" s="130">
        <v>0</v>
      </c>
      <c r="O114" s="107">
        <f t="shared" si="48"/>
        <v>0</v>
      </c>
      <c r="P114" s="107">
        <f t="shared" si="49"/>
        <v>0</v>
      </c>
      <c r="Q114" s="107">
        <f t="shared" si="50"/>
        <v>0</v>
      </c>
      <c r="R114" s="131">
        <f t="shared" si="51"/>
        <v>0</v>
      </c>
    </row>
    <row r="115" spans="1:18" s="53" customFormat="1" ht="29.25" customHeight="1" x14ac:dyDescent="0.25">
      <c r="A115" s="68" t="s">
        <v>29</v>
      </c>
      <c r="B115" s="56" t="s">
        <v>34</v>
      </c>
      <c r="C115" s="57">
        <v>59360</v>
      </c>
      <c r="D115" s="171">
        <v>4700000</v>
      </c>
      <c r="E115" s="209">
        <v>0</v>
      </c>
      <c r="F115" s="171">
        <v>0</v>
      </c>
      <c r="G115" s="171">
        <v>300000</v>
      </c>
      <c r="H115" s="171">
        <v>3500000</v>
      </c>
      <c r="I115" s="171">
        <v>900000</v>
      </c>
      <c r="J115" s="58" t="s">
        <v>238</v>
      </c>
      <c r="L115" s="137">
        <v>0</v>
      </c>
      <c r="N115" s="130">
        <v>0</v>
      </c>
      <c r="O115" s="107">
        <f t="shared" si="48"/>
        <v>0</v>
      </c>
      <c r="P115" s="107">
        <f t="shared" si="49"/>
        <v>0</v>
      </c>
      <c r="Q115" s="107">
        <f t="shared" si="50"/>
        <v>0</v>
      </c>
      <c r="R115" s="131">
        <f t="shared" si="51"/>
        <v>0</v>
      </c>
    </row>
    <row r="116" spans="1:18" s="53" customFormat="1" ht="29.25" customHeight="1" x14ac:dyDescent="0.25">
      <c r="A116" s="68" t="s">
        <v>29</v>
      </c>
      <c r="B116" s="56" t="s">
        <v>34</v>
      </c>
      <c r="C116" s="57">
        <v>59360</v>
      </c>
      <c r="D116" s="171">
        <v>9200000</v>
      </c>
      <c r="E116" s="209">
        <v>0</v>
      </c>
      <c r="F116" s="171">
        <v>0</v>
      </c>
      <c r="G116" s="171">
        <v>600000</v>
      </c>
      <c r="H116" s="171">
        <v>7000000</v>
      </c>
      <c r="I116" s="171">
        <v>1600000</v>
      </c>
      <c r="J116" s="58" t="s">
        <v>239</v>
      </c>
      <c r="L116" s="137">
        <v>0</v>
      </c>
      <c r="N116" s="130">
        <v>0</v>
      </c>
      <c r="O116" s="107">
        <f t="shared" si="48"/>
        <v>0</v>
      </c>
      <c r="P116" s="107">
        <f t="shared" si="49"/>
        <v>0</v>
      </c>
      <c r="Q116" s="107">
        <f t="shared" si="50"/>
        <v>0</v>
      </c>
      <c r="R116" s="131">
        <f t="shared" si="51"/>
        <v>0</v>
      </c>
    </row>
    <row r="117" spans="1:18" s="53" customFormat="1" ht="29.25" customHeight="1" x14ac:dyDescent="0.25">
      <c r="A117" s="68" t="s">
        <v>29</v>
      </c>
      <c r="B117" s="56" t="s">
        <v>219</v>
      </c>
      <c r="C117" s="57">
        <v>59343</v>
      </c>
      <c r="D117" s="171">
        <v>1500000</v>
      </c>
      <c r="E117" s="209">
        <v>0</v>
      </c>
      <c r="F117" s="171">
        <v>0</v>
      </c>
      <c r="G117" s="171">
        <v>1500000</v>
      </c>
      <c r="H117" s="171">
        <v>0</v>
      </c>
      <c r="I117" s="171">
        <v>0</v>
      </c>
      <c r="J117" s="58" t="s">
        <v>238</v>
      </c>
      <c r="L117" s="137">
        <v>0</v>
      </c>
      <c r="N117" s="130">
        <v>0</v>
      </c>
      <c r="O117" s="107">
        <f t="shared" si="48"/>
        <v>0</v>
      </c>
      <c r="P117" s="107">
        <f t="shared" si="49"/>
        <v>0</v>
      </c>
      <c r="Q117" s="107">
        <f t="shared" si="50"/>
        <v>0</v>
      </c>
      <c r="R117" s="131">
        <f t="shared" si="51"/>
        <v>0</v>
      </c>
    </row>
    <row r="118" spans="1:18" s="53" customFormat="1" ht="29.25" customHeight="1" x14ac:dyDescent="0.25">
      <c r="A118" s="68" t="s">
        <v>29</v>
      </c>
      <c r="B118" s="56" t="s">
        <v>219</v>
      </c>
      <c r="C118" s="57">
        <v>59343</v>
      </c>
      <c r="D118" s="171">
        <v>500000</v>
      </c>
      <c r="E118" s="209">
        <v>0</v>
      </c>
      <c r="F118" s="171">
        <v>0</v>
      </c>
      <c r="G118" s="171">
        <v>500000</v>
      </c>
      <c r="H118" s="171">
        <v>0</v>
      </c>
      <c r="I118" s="171">
        <v>0</v>
      </c>
      <c r="J118" s="58" t="s">
        <v>239</v>
      </c>
      <c r="L118" s="137">
        <v>0</v>
      </c>
      <c r="N118" s="130">
        <v>0</v>
      </c>
      <c r="O118" s="107">
        <f t="shared" si="48"/>
        <v>0</v>
      </c>
      <c r="P118" s="107">
        <f t="shared" si="49"/>
        <v>0</v>
      </c>
      <c r="Q118" s="107">
        <f t="shared" si="50"/>
        <v>0</v>
      </c>
      <c r="R118" s="131">
        <f t="shared" si="51"/>
        <v>0</v>
      </c>
    </row>
    <row r="119" spans="1:18" s="53" customFormat="1" ht="29.25" customHeight="1" x14ac:dyDescent="0.25">
      <c r="A119" s="68" t="s">
        <v>29</v>
      </c>
      <c r="B119" s="56" t="s">
        <v>209</v>
      </c>
      <c r="C119" s="57">
        <v>59312</v>
      </c>
      <c r="D119" s="171">
        <v>7000000</v>
      </c>
      <c r="E119" s="209">
        <v>0</v>
      </c>
      <c r="F119" s="171">
        <v>7000000</v>
      </c>
      <c r="G119" s="171">
        <v>0</v>
      </c>
      <c r="H119" s="171">
        <v>0</v>
      </c>
      <c r="I119" s="171">
        <v>0</v>
      </c>
      <c r="J119" s="58" t="s">
        <v>238</v>
      </c>
      <c r="L119" s="137">
        <v>0</v>
      </c>
      <c r="N119" s="130">
        <v>0</v>
      </c>
      <c r="O119" s="107">
        <f t="shared" si="48"/>
        <v>0</v>
      </c>
      <c r="P119" s="107">
        <f t="shared" si="49"/>
        <v>0</v>
      </c>
      <c r="Q119" s="107">
        <f t="shared" si="50"/>
        <v>0</v>
      </c>
      <c r="R119" s="131">
        <f t="shared" si="51"/>
        <v>0</v>
      </c>
    </row>
    <row r="120" spans="1:18" s="53" customFormat="1" ht="29.25" customHeight="1" x14ac:dyDescent="0.25">
      <c r="A120" s="68" t="s">
        <v>29</v>
      </c>
      <c r="B120" s="56" t="s">
        <v>209</v>
      </c>
      <c r="C120" s="57">
        <v>59312</v>
      </c>
      <c r="D120" s="171">
        <v>7000000</v>
      </c>
      <c r="E120" s="209">
        <v>0</v>
      </c>
      <c r="F120" s="171">
        <v>7000000</v>
      </c>
      <c r="G120" s="171">
        <v>0</v>
      </c>
      <c r="H120" s="171">
        <v>0</v>
      </c>
      <c r="I120" s="171">
        <v>0</v>
      </c>
      <c r="J120" s="58" t="s">
        <v>239</v>
      </c>
      <c r="L120" s="137">
        <v>0</v>
      </c>
      <c r="N120" s="130">
        <v>0</v>
      </c>
      <c r="O120" s="107">
        <f t="shared" si="48"/>
        <v>0</v>
      </c>
      <c r="P120" s="107">
        <f t="shared" si="49"/>
        <v>0</v>
      </c>
      <c r="Q120" s="107">
        <f t="shared" si="50"/>
        <v>0</v>
      </c>
      <c r="R120" s="131">
        <f t="shared" si="51"/>
        <v>0</v>
      </c>
    </row>
    <row r="121" spans="1:18" s="53" customFormat="1" ht="29.25" customHeight="1" x14ac:dyDescent="0.25">
      <c r="A121" s="68" t="s">
        <v>29</v>
      </c>
      <c r="B121" s="56" t="s">
        <v>185</v>
      </c>
      <c r="C121" s="57">
        <v>59347</v>
      </c>
      <c r="D121" s="171">
        <v>5900000</v>
      </c>
      <c r="E121" s="209">
        <v>0</v>
      </c>
      <c r="F121" s="171">
        <v>1000000</v>
      </c>
      <c r="G121" s="171">
        <v>2000000</v>
      </c>
      <c r="H121" s="171">
        <v>1300000</v>
      </c>
      <c r="I121" s="171">
        <v>1600000</v>
      </c>
      <c r="J121" s="58" t="s">
        <v>238</v>
      </c>
      <c r="L121" s="137">
        <v>0</v>
      </c>
      <c r="N121" s="130">
        <v>0</v>
      </c>
      <c r="O121" s="107">
        <f t="shared" si="48"/>
        <v>0</v>
      </c>
      <c r="P121" s="107">
        <f t="shared" si="49"/>
        <v>0</v>
      </c>
      <c r="Q121" s="107">
        <f t="shared" si="50"/>
        <v>0</v>
      </c>
      <c r="R121" s="131">
        <f t="shared" si="51"/>
        <v>0</v>
      </c>
    </row>
    <row r="122" spans="1:18" s="53" customFormat="1" ht="29.25" customHeight="1" x14ac:dyDescent="0.25">
      <c r="A122" s="68" t="s">
        <v>29</v>
      </c>
      <c r="B122" s="56" t="s">
        <v>185</v>
      </c>
      <c r="C122" s="57">
        <v>59347</v>
      </c>
      <c r="D122" s="171">
        <v>11550000</v>
      </c>
      <c r="E122" s="209">
        <v>0</v>
      </c>
      <c r="F122" s="171">
        <v>1650000</v>
      </c>
      <c r="G122" s="171">
        <v>4000000</v>
      </c>
      <c r="H122" s="171">
        <v>2700000</v>
      </c>
      <c r="I122" s="171">
        <v>3200000</v>
      </c>
      <c r="J122" s="58" t="s">
        <v>239</v>
      </c>
      <c r="L122" s="137">
        <v>0</v>
      </c>
      <c r="N122" s="130">
        <v>0</v>
      </c>
      <c r="O122" s="107">
        <f t="shared" si="48"/>
        <v>0</v>
      </c>
      <c r="P122" s="107">
        <f t="shared" si="49"/>
        <v>0</v>
      </c>
      <c r="Q122" s="107">
        <f t="shared" si="50"/>
        <v>0</v>
      </c>
      <c r="R122" s="131">
        <f t="shared" si="51"/>
        <v>0</v>
      </c>
    </row>
    <row r="123" spans="1:18" s="53" customFormat="1" ht="29.25" customHeight="1" x14ac:dyDescent="0.25">
      <c r="A123" s="68" t="s">
        <v>29</v>
      </c>
      <c r="B123" s="56" t="s">
        <v>35</v>
      </c>
      <c r="C123" s="57">
        <v>59901</v>
      </c>
      <c r="D123" s="171"/>
      <c r="E123" s="209"/>
      <c r="F123" s="171">
        <v>1700000</v>
      </c>
      <c r="G123" s="171">
        <v>1200000</v>
      </c>
      <c r="H123" s="171">
        <v>0</v>
      </c>
      <c r="I123" s="171">
        <v>1700000</v>
      </c>
      <c r="J123" s="58" t="s">
        <v>235</v>
      </c>
      <c r="L123" s="137"/>
      <c r="N123" s="130">
        <v>0</v>
      </c>
      <c r="O123" s="107">
        <f t="shared" si="48"/>
        <v>0</v>
      </c>
      <c r="P123" s="107">
        <f t="shared" si="49"/>
        <v>0</v>
      </c>
      <c r="Q123" s="107">
        <f t="shared" si="50"/>
        <v>0</v>
      </c>
      <c r="R123" s="131">
        <f t="shared" si="51"/>
        <v>0</v>
      </c>
    </row>
    <row r="124" spans="1:18" s="53" customFormat="1" ht="29.25" customHeight="1" x14ac:dyDescent="0.25">
      <c r="A124" s="68" t="s">
        <v>29</v>
      </c>
      <c r="B124" s="56" t="s">
        <v>36</v>
      </c>
      <c r="C124" s="57">
        <v>59320</v>
      </c>
      <c r="D124" s="171">
        <v>6400000</v>
      </c>
      <c r="E124" s="209">
        <v>400000</v>
      </c>
      <c r="F124" s="171">
        <v>5500000</v>
      </c>
      <c r="G124" s="171">
        <v>500000</v>
      </c>
      <c r="H124" s="171">
        <v>0</v>
      </c>
      <c r="I124" s="171">
        <v>0</v>
      </c>
      <c r="J124" s="58" t="s">
        <v>238</v>
      </c>
      <c r="L124" s="137">
        <v>0</v>
      </c>
      <c r="N124" s="130">
        <v>0</v>
      </c>
      <c r="O124" s="107">
        <f t="shared" si="48"/>
        <v>0</v>
      </c>
      <c r="P124" s="107">
        <f t="shared" si="49"/>
        <v>0</v>
      </c>
      <c r="Q124" s="107">
        <f t="shared" si="50"/>
        <v>0</v>
      </c>
      <c r="R124" s="131">
        <f t="shared" si="51"/>
        <v>0</v>
      </c>
    </row>
    <row r="125" spans="1:18" s="53" customFormat="1" ht="29.25" customHeight="1" x14ac:dyDescent="0.25">
      <c r="A125" s="68" t="s">
        <v>29</v>
      </c>
      <c r="B125" s="56" t="s">
        <v>36</v>
      </c>
      <c r="C125" s="57">
        <v>59320</v>
      </c>
      <c r="D125" s="171">
        <v>9800000</v>
      </c>
      <c r="E125" s="209">
        <v>1800000</v>
      </c>
      <c r="F125" s="171">
        <v>7500000</v>
      </c>
      <c r="G125" s="171">
        <v>500000</v>
      </c>
      <c r="H125" s="171">
        <v>0</v>
      </c>
      <c r="I125" s="171">
        <v>0</v>
      </c>
      <c r="J125" s="58" t="s">
        <v>239</v>
      </c>
      <c r="L125" s="137">
        <v>253966</v>
      </c>
      <c r="N125" s="130">
        <v>0</v>
      </c>
      <c r="O125" s="107">
        <f t="shared" si="48"/>
        <v>0</v>
      </c>
      <c r="P125" s="107">
        <f t="shared" si="49"/>
        <v>0</v>
      </c>
      <c r="Q125" s="107">
        <f t="shared" si="50"/>
        <v>0</v>
      </c>
      <c r="R125" s="131">
        <f t="shared" si="51"/>
        <v>0</v>
      </c>
    </row>
    <row r="126" spans="1:18" s="53" customFormat="1" ht="29.25" customHeight="1" x14ac:dyDescent="0.25">
      <c r="A126" s="68" t="s">
        <v>29</v>
      </c>
      <c r="B126" s="56" t="s">
        <v>37</v>
      </c>
      <c r="C126" s="57">
        <v>59339</v>
      </c>
      <c r="D126" s="171">
        <v>13000000</v>
      </c>
      <c r="E126" s="209">
        <v>0</v>
      </c>
      <c r="F126" s="171">
        <v>6000000</v>
      </c>
      <c r="G126" s="171">
        <v>1000000</v>
      </c>
      <c r="H126" s="171">
        <v>4000000</v>
      </c>
      <c r="I126" s="171">
        <v>2000000</v>
      </c>
      <c r="J126" s="58" t="s">
        <v>238</v>
      </c>
      <c r="L126" s="137">
        <v>0</v>
      </c>
      <c r="N126" s="130">
        <v>0</v>
      </c>
      <c r="O126" s="107">
        <f t="shared" si="48"/>
        <v>0</v>
      </c>
      <c r="P126" s="107">
        <f t="shared" si="49"/>
        <v>0</v>
      </c>
      <c r="Q126" s="107">
        <f t="shared" si="50"/>
        <v>0</v>
      </c>
      <c r="R126" s="131">
        <f t="shared" si="51"/>
        <v>0</v>
      </c>
    </row>
    <row r="127" spans="1:18" s="53" customFormat="1" ht="29.25" customHeight="1" x14ac:dyDescent="0.25">
      <c r="A127" s="68" t="s">
        <v>29</v>
      </c>
      <c r="B127" s="211"/>
      <c r="C127" s="212"/>
      <c r="D127" s="171"/>
      <c r="E127" s="171"/>
      <c r="F127" s="171"/>
      <c r="G127" s="171"/>
      <c r="H127" s="171"/>
      <c r="I127" s="171"/>
      <c r="J127" s="58"/>
      <c r="L127" s="137"/>
      <c r="N127" s="214">
        <v>0</v>
      </c>
      <c r="O127" s="107">
        <f t="shared" ref="O127:O129" si="52">ROUND($N127*F127,-3)</f>
        <v>0</v>
      </c>
      <c r="P127" s="107">
        <f t="shared" ref="P127:P129" si="53">ROUND($N127*G127,-3)</f>
        <v>0</v>
      </c>
      <c r="Q127" s="107">
        <f t="shared" ref="Q127:Q129" si="54">ROUND($N127*H127,-3)</f>
        <v>0</v>
      </c>
      <c r="R127" s="131">
        <f t="shared" ref="R127:R129" si="55">ROUND($N127*I127,-3)</f>
        <v>0</v>
      </c>
    </row>
    <row r="128" spans="1:18" s="53" customFormat="1" ht="29.25" customHeight="1" x14ac:dyDescent="0.25">
      <c r="A128" s="68" t="s">
        <v>29</v>
      </c>
      <c r="B128" s="211"/>
      <c r="C128" s="212"/>
      <c r="D128" s="171"/>
      <c r="E128" s="171"/>
      <c r="F128" s="171"/>
      <c r="G128" s="171"/>
      <c r="H128" s="171"/>
      <c r="I128" s="171"/>
      <c r="J128" s="58"/>
      <c r="L128" s="137"/>
      <c r="N128" s="214">
        <v>0</v>
      </c>
      <c r="O128" s="107">
        <f t="shared" si="52"/>
        <v>0</v>
      </c>
      <c r="P128" s="107">
        <f t="shared" si="53"/>
        <v>0</v>
      </c>
      <c r="Q128" s="107">
        <f t="shared" si="54"/>
        <v>0</v>
      </c>
      <c r="R128" s="131">
        <f t="shared" si="55"/>
        <v>0</v>
      </c>
    </row>
    <row r="129" spans="1:18" s="53" customFormat="1" ht="29.25" customHeight="1" thickBot="1" x14ac:dyDescent="0.3">
      <c r="A129" s="198" t="s">
        <v>29</v>
      </c>
      <c r="B129" s="225"/>
      <c r="C129" s="226"/>
      <c r="D129" s="189"/>
      <c r="E129" s="189"/>
      <c r="F129" s="189"/>
      <c r="G129" s="189"/>
      <c r="H129" s="189"/>
      <c r="I129" s="189"/>
      <c r="J129" s="200"/>
      <c r="L129" s="201"/>
      <c r="N129" s="218">
        <v>0</v>
      </c>
      <c r="O129" s="202">
        <f t="shared" si="52"/>
        <v>0</v>
      </c>
      <c r="P129" s="202">
        <f t="shared" si="53"/>
        <v>0</v>
      </c>
      <c r="Q129" s="202">
        <f t="shared" si="54"/>
        <v>0</v>
      </c>
      <c r="R129" s="203">
        <f t="shared" si="55"/>
        <v>0</v>
      </c>
    </row>
    <row r="130" spans="1:18" s="53" customFormat="1" ht="29.25" customHeight="1" x14ac:dyDescent="0.25">
      <c r="A130" s="104" t="s">
        <v>38</v>
      </c>
      <c r="B130" s="59" t="s">
        <v>39</v>
      </c>
      <c r="C130" s="105">
        <v>59406</v>
      </c>
      <c r="D130" s="170"/>
      <c r="E130" s="233"/>
      <c r="F130" s="170">
        <v>2000000</v>
      </c>
      <c r="G130" s="170">
        <v>1500000</v>
      </c>
      <c r="H130" s="170">
        <v>1000000</v>
      </c>
      <c r="I130" s="170">
        <v>1000000</v>
      </c>
      <c r="J130" s="106" t="s">
        <v>235</v>
      </c>
      <c r="L130" s="135"/>
      <c r="N130" s="127">
        <v>0.19</v>
      </c>
      <c r="O130" s="128">
        <f t="shared" ref="O130:R135" si="56">ROUND($N130*F130,-3)</f>
        <v>380000</v>
      </c>
      <c r="P130" s="128">
        <f t="shared" si="56"/>
        <v>285000</v>
      </c>
      <c r="Q130" s="128">
        <f t="shared" si="56"/>
        <v>190000</v>
      </c>
      <c r="R130" s="129">
        <f t="shared" si="56"/>
        <v>190000</v>
      </c>
    </row>
    <row r="131" spans="1:18" s="53" customFormat="1" ht="29.25" customHeight="1" x14ac:dyDescent="0.25">
      <c r="A131" s="68" t="s">
        <v>38</v>
      </c>
      <c r="B131" s="56" t="s">
        <v>131</v>
      </c>
      <c r="C131" s="57">
        <v>59434</v>
      </c>
      <c r="D131" s="171">
        <v>500000</v>
      </c>
      <c r="E131" s="209">
        <v>0</v>
      </c>
      <c r="F131" s="171">
        <v>500000</v>
      </c>
      <c r="G131" s="171">
        <v>0</v>
      </c>
      <c r="H131" s="171">
        <v>0</v>
      </c>
      <c r="I131" s="171">
        <v>0</v>
      </c>
      <c r="J131" s="58"/>
      <c r="L131" s="137">
        <v>0</v>
      </c>
      <c r="N131" s="130">
        <v>0.19</v>
      </c>
      <c r="O131" s="107">
        <f t="shared" si="56"/>
        <v>95000</v>
      </c>
      <c r="P131" s="107">
        <f t="shared" si="56"/>
        <v>0</v>
      </c>
      <c r="Q131" s="107">
        <f t="shared" si="56"/>
        <v>0</v>
      </c>
      <c r="R131" s="131">
        <f t="shared" si="56"/>
        <v>0</v>
      </c>
    </row>
    <row r="132" spans="1:18" s="53" customFormat="1" ht="29.25" customHeight="1" x14ac:dyDescent="0.25">
      <c r="A132" s="68" t="s">
        <v>38</v>
      </c>
      <c r="B132" s="56" t="s">
        <v>146</v>
      </c>
      <c r="C132" s="57">
        <v>59419</v>
      </c>
      <c r="D132" s="171"/>
      <c r="E132" s="209"/>
      <c r="F132" s="171">
        <v>500000</v>
      </c>
      <c r="G132" s="171">
        <v>500000</v>
      </c>
      <c r="H132" s="171">
        <v>500000</v>
      </c>
      <c r="I132" s="171">
        <v>500000</v>
      </c>
      <c r="J132" s="58" t="s">
        <v>235</v>
      </c>
      <c r="L132" s="137">
        <v>0</v>
      </c>
      <c r="N132" s="130">
        <v>0.19</v>
      </c>
      <c r="O132" s="107">
        <f t="shared" si="56"/>
        <v>95000</v>
      </c>
      <c r="P132" s="107">
        <f t="shared" si="56"/>
        <v>95000</v>
      </c>
      <c r="Q132" s="107">
        <f t="shared" si="56"/>
        <v>95000</v>
      </c>
      <c r="R132" s="131">
        <f t="shared" si="56"/>
        <v>95000</v>
      </c>
    </row>
    <row r="133" spans="1:18" s="53" customFormat="1" ht="29.25" customHeight="1" x14ac:dyDescent="0.25">
      <c r="A133" s="68" t="s">
        <v>38</v>
      </c>
      <c r="B133" s="56" t="s">
        <v>40</v>
      </c>
      <c r="C133" s="57">
        <v>59425</v>
      </c>
      <c r="D133" s="171"/>
      <c r="E133" s="209"/>
      <c r="F133" s="171">
        <v>1100000</v>
      </c>
      <c r="G133" s="171">
        <v>1100000</v>
      </c>
      <c r="H133" s="171">
        <v>1100000</v>
      </c>
      <c r="I133" s="171">
        <v>1100000</v>
      </c>
      <c r="J133" s="58" t="s">
        <v>235</v>
      </c>
      <c r="L133" s="137"/>
      <c r="N133" s="130">
        <v>0.19</v>
      </c>
      <c r="O133" s="107">
        <f t="shared" si="56"/>
        <v>209000</v>
      </c>
      <c r="P133" s="107">
        <f t="shared" si="56"/>
        <v>209000</v>
      </c>
      <c r="Q133" s="107">
        <f t="shared" si="56"/>
        <v>209000</v>
      </c>
      <c r="R133" s="131">
        <f t="shared" si="56"/>
        <v>209000</v>
      </c>
    </row>
    <row r="134" spans="1:18" s="53" customFormat="1" ht="29.25" customHeight="1" x14ac:dyDescent="0.25">
      <c r="A134" s="68" t="s">
        <v>38</v>
      </c>
      <c r="B134" s="56" t="s">
        <v>230</v>
      </c>
      <c r="C134" s="57">
        <v>59437</v>
      </c>
      <c r="D134" s="171"/>
      <c r="E134" s="209"/>
      <c r="F134" s="171">
        <v>400000</v>
      </c>
      <c r="G134" s="171">
        <v>400000</v>
      </c>
      <c r="H134" s="171">
        <v>400000</v>
      </c>
      <c r="I134" s="171">
        <v>400000</v>
      </c>
      <c r="J134" s="58" t="s">
        <v>235</v>
      </c>
      <c r="L134" s="137"/>
      <c r="N134" s="130">
        <v>0.19</v>
      </c>
      <c r="O134" s="107">
        <f t="shared" si="56"/>
        <v>76000</v>
      </c>
      <c r="P134" s="107">
        <f t="shared" si="56"/>
        <v>76000</v>
      </c>
      <c r="Q134" s="107">
        <f t="shared" si="56"/>
        <v>76000</v>
      </c>
      <c r="R134" s="131">
        <f t="shared" si="56"/>
        <v>76000</v>
      </c>
    </row>
    <row r="135" spans="1:18" s="53" customFormat="1" ht="29.25" customHeight="1" x14ac:dyDescent="0.25">
      <c r="A135" s="68" t="s">
        <v>38</v>
      </c>
      <c r="B135" s="56" t="s">
        <v>41</v>
      </c>
      <c r="C135" s="57">
        <v>59440</v>
      </c>
      <c r="D135" s="171">
        <v>935000</v>
      </c>
      <c r="E135" s="209">
        <v>35000</v>
      </c>
      <c r="F135" s="171">
        <v>900000</v>
      </c>
      <c r="G135" s="171">
        <v>0</v>
      </c>
      <c r="H135" s="171">
        <v>0</v>
      </c>
      <c r="I135" s="171">
        <v>0</v>
      </c>
      <c r="J135" s="58"/>
      <c r="L135" s="137"/>
      <c r="N135" s="130">
        <v>0.19</v>
      </c>
      <c r="O135" s="107">
        <f t="shared" si="56"/>
        <v>171000</v>
      </c>
      <c r="P135" s="107">
        <f t="shared" si="56"/>
        <v>0</v>
      </c>
      <c r="Q135" s="107">
        <f t="shared" si="56"/>
        <v>0</v>
      </c>
      <c r="R135" s="131">
        <f t="shared" si="56"/>
        <v>0</v>
      </c>
    </row>
    <row r="136" spans="1:18" s="53" customFormat="1" ht="29.25" customHeight="1" x14ac:dyDescent="0.25">
      <c r="A136" s="68" t="s">
        <v>38</v>
      </c>
      <c r="B136" s="211"/>
      <c r="C136" s="212"/>
      <c r="D136" s="171"/>
      <c r="E136" s="171"/>
      <c r="F136" s="171"/>
      <c r="G136" s="171"/>
      <c r="H136" s="171"/>
      <c r="I136" s="171"/>
      <c r="J136" s="58"/>
      <c r="L136" s="137"/>
      <c r="N136" s="214">
        <v>0.19</v>
      </c>
      <c r="O136" s="107">
        <f t="shared" ref="O136:O138" si="57">ROUND($N136*F136,-3)</f>
        <v>0</v>
      </c>
      <c r="P136" s="107">
        <f t="shared" ref="P136:P138" si="58">ROUND($N136*G136,-3)</f>
        <v>0</v>
      </c>
      <c r="Q136" s="107">
        <f t="shared" ref="Q136:Q138" si="59">ROUND($N136*H136,-3)</f>
        <v>0</v>
      </c>
      <c r="R136" s="131">
        <f t="shared" ref="R136:R138" si="60">ROUND($N136*I136,-3)</f>
        <v>0</v>
      </c>
    </row>
    <row r="137" spans="1:18" s="53" customFormat="1" ht="29.25" customHeight="1" x14ac:dyDescent="0.25">
      <c r="A137" s="68" t="s">
        <v>38</v>
      </c>
      <c r="B137" s="211"/>
      <c r="C137" s="212"/>
      <c r="D137" s="171"/>
      <c r="E137" s="171"/>
      <c r="F137" s="171"/>
      <c r="G137" s="171"/>
      <c r="H137" s="171"/>
      <c r="I137" s="171"/>
      <c r="J137" s="58"/>
      <c r="L137" s="137"/>
      <c r="N137" s="214">
        <v>0.19</v>
      </c>
      <c r="O137" s="107">
        <f t="shared" si="57"/>
        <v>0</v>
      </c>
      <c r="P137" s="107">
        <f t="shared" si="58"/>
        <v>0</v>
      </c>
      <c r="Q137" s="107">
        <f t="shared" si="59"/>
        <v>0</v>
      </c>
      <c r="R137" s="131">
        <f t="shared" si="60"/>
        <v>0</v>
      </c>
    </row>
    <row r="138" spans="1:18" s="53" customFormat="1" ht="29.25" customHeight="1" thickBot="1" x14ac:dyDescent="0.3">
      <c r="A138" s="230" t="s">
        <v>38</v>
      </c>
      <c r="B138" s="213"/>
      <c r="C138" s="213"/>
      <c r="D138" s="232"/>
      <c r="E138" s="232"/>
      <c r="F138" s="232"/>
      <c r="G138" s="232"/>
      <c r="H138" s="232"/>
      <c r="I138" s="232"/>
      <c r="J138" s="109"/>
      <c r="L138" s="210"/>
      <c r="N138" s="215">
        <v>0.19</v>
      </c>
      <c r="O138" s="112">
        <f t="shared" si="57"/>
        <v>0</v>
      </c>
      <c r="P138" s="112">
        <f t="shared" si="58"/>
        <v>0</v>
      </c>
      <c r="Q138" s="112">
        <f t="shared" si="59"/>
        <v>0</v>
      </c>
      <c r="R138" s="132">
        <f t="shared" si="60"/>
        <v>0</v>
      </c>
    </row>
    <row r="139" spans="1:18" ht="29.25" customHeight="1" thickBot="1" x14ac:dyDescent="0.3">
      <c r="B139" s="121"/>
      <c r="N139" s="236" t="s">
        <v>198</v>
      </c>
      <c r="O139" s="228">
        <f>SUM(O2:O138)</f>
        <v>29203000</v>
      </c>
      <c r="P139" s="228">
        <f t="shared" ref="P139:R139" si="61">SUM(P2:P138)</f>
        <v>54960000</v>
      </c>
      <c r="Q139" s="228">
        <f t="shared" si="61"/>
        <v>55177000</v>
      </c>
      <c r="R139" s="228">
        <f t="shared" si="61"/>
        <v>30144000</v>
      </c>
    </row>
    <row r="140" spans="1:18" ht="30" customHeight="1" x14ac:dyDescent="0.25">
      <c r="B140" s="117"/>
      <c r="C140" s="117"/>
      <c r="E140" s="103"/>
      <c r="F140" s="72"/>
      <c r="G140" s="72"/>
      <c r="H140" s="113"/>
      <c r="I140" s="114"/>
      <c r="J140" s="114"/>
      <c r="K140" s="123"/>
      <c r="L140" s="140"/>
      <c r="M140" s="114"/>
    </row>
    <row r="141" spans="1:18" x14ac:dyDescent="0.25">
      <c r="B141" s="103"/>
      <c r="C141" s="72"/>
      <c r="D141" s="72"/>
      <c r="E141" s="72"/>
      <c r="F141" s="72"/>
      <c r="G141" s="72"/>
      <c r="H141" s="72"/>
      <c r="I141" s="72"/>
    </row>
    <row r="142" spans="1:18" x14ac:dyDescent="0.25">
      <c r="B142" s="103"/>
      <c r="C142" s="72"/>
      <c r="D142" s="72"/>
      <c r="E142" s="72"/>
      <c r="F142" s="72"/>
      <c r="G142" s="72"/>
      <c r="H142" s="72"/>
      <c r="I142" s="72"/>
    </row>
    <row r="143" spans="1:18" x14ac:dyDescent="0.25">
      <c r="B143" s="122"/>
      <c r="C143" s="115"/>
      <c r="D143" s="72"/>
      <c r="E143" s="72"/>
      <c r="F143" s="72"/>
      <c r="G143" s="72"/>
      <c r="H143" s="72"/>
      <c r="I143" s="72"/>
    </row>
    <row r="144" spans="1:18" x14ac:dyDescent="0.25">
      <c r="B144" s="122"/>
      <c r="C144" s="115"/>
      <c r="D144" s="72"/>
      <c r="E144" s="72"/>
      <c r="F144" s="72"/>
      <c r="G144" s="72"/>
      <c r="H144" s="72"/>
      <c r="I144" s="72"/>
    </row>
    <row r="145" spans="2:9" x14ac:dyDescent="0.25">
      <c r="B145" s="122"/>
      <c r="C145" s="115"/>
      <c r="D145" s="72"/>
      <c r="E145" s="72"/>
      <c r="F145" s="72"/>
      <c r="G145" s="72"/>
      <c r="H145" s="72"/>
      <c r="I145" s="72"/>
    </row>
    <row r="146" spans="2:9" x14ac:dyDescent="0.25">
      <c r="B146" s="122"/>
      <c r="C146" s="115"/>
      <c r="D146" s="72"/>
      <c r="E146" s="72"/>
      <c r="F146" s="72"/>
      <c r="G146" s="72"/>
      <c r="H146" s="72"/>
      <c r="I146" s="72"/>
    </row>
    <row r="147" spans="2:9" x14ac:dyDescent="0.25">
      <c r="B147" s="122"/>
      <c r="C147" s="115"/>
      <c r="D147" s="72"/>
      <c r="E147" s="72"/>
      <c r="F147" s="72"/>
      <c r="G147" s="72"/>
      <c r="H147" s="72"/>
      <c r="I147" s="72"/>
    </row>
    <row r="148" spans="2:9" x14ac:dyDescent="0.25">
      <c r="B148" s="122"/>
      <c r="C148" s="115"/>
      <c r="D148" s="72"/>
      <c r="E148" s="72"/>
      <c r="F148" s="72"/>
      <c r="G148" s="72"/>
      <c r="H148" s="72"/>
      <c r="I148" s="72"/>
    </row>
    <row r="149" spans="2:9" x14ac:dyDescent="0.25">
      <c r="B149" s="122"/>
      <c r="C149" s="72"/>
      <c r="D149" s="72"/>
      <c r="E149" s="72"/>
      <c r="F149" s="72"/>
      <c r="G149" s="72"/>
      <c r="H149" s="72"/>
      <c r="I149" s="72"/>
    </row>
    <row r="150" spans="2:9" x14ac:dyDescent="0.25">
      <c r="B150" s="122"/>
      <c r="C150" s="72"/>
      <c r="D150" s="72"/>
      <c r="E150" s="72"/>
      <c r="F150" s="72"/>
      <c r="G150" s="72"/>
      <c r="H150" s="72"/>
      <c r="I150" s="72"/>
    </row>
    <row r="151" spans="2:9" x14ac:dyDescent="0.25">
      <c r="B151" s="122"/>
      <c r="C151" s="72"/>
      <c r="D151" s="72"/>
      <c r="E151" s="72"/>
      <c r="F151" s="72"/>
      <c r="G151" s="72"/>
      <c r="H151" s="72"/>
      <c r="I151" s="72"/>
    </row>
    <row r="152" spans="2:9" x14ac:dyDescent="0.25">
      <c r="B152" s="122"/>
      <c r="C152" s="72"/>
      <c r="D152" s="72"/>
      <c r="E152" s="72"/>
      <c r="F152" s="72"/>
      <c r="G152" s="72"/>
      <c r="H152" s="72"/>
      <c r="I152" s="72"/>
    </row>
    <row r="153" spans="2:9" x14ac:dyDescent="0.25">
      <c r="B153" s="122"/>
      <c r="C153" s="72"/>
      <c r="D153" s="72"/>
      <c r="E153" s="72"/>
      <c r="F153" s="72"/>
      <c r="G153" s="72"/>
      <c r="H153" s="72"/>
      <c r="I153" s="72"/>
    </row>
    <row r="154" spans="2:9" x14ac:dyDescent="0.25">
      <c r="B154" s="122"/>
      <c r="C154" s="72"/>
      <c r="D154" s="72"/>
      <c r="E154" s="72"/>
      <c r="F154" s="72"/>
      <c r="G154" s="72"/>
      <c r="H154" s="72"/>
      <c r="I154" s="72"/>
    </row>
    <row r="155" spans="2:9" x14ac:dyDescent="0.25">
      <c r="B155" s="122"/>
      <c r="C155" s="72"/>
      <c r="D155" s="72"/>
      <c r="E155" s="72"/>
      <c r="F155" s="72"/>
      <c r="G155" s="72"/>
      <c r="H155" s="72"/>
      <c r="I155" s="72"/>
    </row>
    <row r="156" spans="2:9" x14ac:dyDescent="0.25">
      <c r="B156" s="122"/>
      <c r="C156" s="72"/>
      <c r="D156" s="72"/>
      <c r="E156" s="72"/>
      <c r="F156" s="72"/>
      <c r="G156" s="72"/>
      <c r="H156" s="72"/>
      <c r="I156" s="72"/>
    </row>
    <row r="157" spans="2:9" x14ac:dyDescent="0.25">
      <c r="B157" s="122"/>
      <c r="C157" s="72"/>
      <c r="D157" s="72"/>
      <c r="E157" s="72"/>
      <c r="F157" s="72"/>
      <c r="G157" s="72"/>
      <c r="H157" s="72"/>
      <c r="I157" s="72"/>
    </row>
    <row r="158" spans="2:9" x14ac:dyDescent="0.25">
      <c r="B158" s="122"/>
      <c r="C158" s="72"/>
      <c r="D158" s="72"/>
      <c r="E158" s="72"/>
      <c r="F158" s="72"/>
      <c r="G158" s="72"/>
      <c r="H158" s="72"/>
      <c r="I158" s="72"/>
    </row>
    <row r="159" spans="2:9" x14ac:dyDescent="0.25">
      <c r="B159" s="122"/>
      <c r="C159" s="72"/>
      <c r="D159" s="72"/>
      <c r="E159" s="72"/>
      <c r="F159" s="72"/>
      <c r="G159" s="72"/>
      <c r="H159" s="72"/>
      <c r="I159" s="72"/>
    </row>
    <row r="160" spans="2:9" x14ac:dyDescent="0.25">
      <c r="B160" s="122"/>
      <c r="C160" s="72"/>
      <c r="D160" s="72"/>
      <c r="E160" s="72"/>
      <c r="F160" s="72"/>
      <c r="G160" s="72"/>
      <c r="H160" s="72"/>
      <c r="I160" s="72"/>
    </row>
    <row r="161" spans="2:9" x14ac:dyDescent="0.25">
      <c r="B161" s="103"/>
      <c r="C161" s="72"/>
      <c r="D161" s="72"/>
      <c r="E161" s="72"/>
      <c r="F161" s="72"/>
      <c r="G161" s="72"/>
      <c r="H161" s="72"/>
      <c r="I161" s="72"/>
    </row>
    <row r="162" spans="2:9" x14ac:dyDescent="0.25">
      <c r="B162" s="103"/>
      <c r="C162" s="72"/>
      <c r="D162" s="72"/>
      <c r="E162" s="72"/>
      <c r="F162" s="72"/>
      <c r="G162" s="72"/>
      <c r="H162" s="72"/>
      <c r="I162" s="72"/>
    </row>
    <row r="163" spans="2:9" x14ac:dyDescent="0.25">
      <c r="B163" s="103"/>
      <c r="C163" s="72"/>
      <c r="D163" s="72"/>
      <c r="E163" s="72"/>
      <c r="F163" s="72"/>
      <c r="G163" s="72"/>
      <c r="H163" s="72"/>
      <c r="I163" s="72"/>
    </row>
    <row r="164" spans="2:9" x14ac:dyDescent="0.25">
      <c r="B164" s="103"/>
    </row>
    <row r="165" spans="2:9" x14ac:dyDescent="0.25">
      <c r="B165" s="103"/>
    </row>
    <row r="166" spans="2:9" x14ac:dyDescent="0.25">
      <c r="B166" s="103"/>
    </row>
    <row r="167" spans="2:9" x14ac:dyDescent="0.25">
      <c r="B167" s="103"/>
    </row>
    <row r="168" spans="2:9" x14ac:dyDescent="0.25">
      <c r="B168" s="103"/>
    </row>
    <row r="169" spans="2:9" x14ac:dyDescent="0.25">
      <c r="B169" s="103"/>
    </row>
    <row r="170" spans="2:9" x14ac:dyDescent="0.25">
      <c r="B170" s="103"/>
    </row>
    <row r="171" spans="2:9" x14ac:dyDescent="0.25">
      <c r="B171" s="103"/>
    </row>
    <row r="172" spans="2:9" x14ac:dyDescent="0.25">
      <c r="B172" s="103"/>
    </row>
    <row r="173" spans="2:9" x14ac:dyDescent="0.25">
      <c r="B173" s="103"/>
    </row>
    <row r="174" spans="2:9" x14ac:dyDescent="0.25">
      <c r="B174" s="103"/>
    </row>
    <row r="175" spans="2:9" x14ac:dyDescent="0.25">
      <c r="B175" s="103"/>
    </row>
    <row r="176" spans="2:9" x14ac:dyDescent="0.25">
      <c r="B176" s="103"/>
    </row>
    <row r="177" spans="2:2" x14ac:dyDescent="0.25">
      <c r="B177" s="103"/>
    </row>
    <row r="178" spans="2:2" x14ac:dyDescent="0.25">
      <c r="B178" s="103"/>
    </row>
    <row r="179" spans="2:2" x14ac:dyDescent="0.25">
      <c r="B179" s="103"/>
    </row>
    <row r="180" spans="2:2" x14ac:dyDescent="0.25">
      <c r="B180" s="103"/>
    </row>
    <row r="181" spans="2:2" x14ac:dyDescent="0.25">
      <c r="B181" s="103"/>
    </row>
    <row r="182" spans="2:2" x14ac:dyDescent="0.25">
      <c r="B182" s="103"/>
    </row>
    <row r="183" spans="2:2" x14ac:dyDescent="0.25">
      <c r="B183" s="103"/>
    </row>
    <row r="184" spans="2:2" x14ac:dyDescent="0.25">
      <c r="B184" s="103"/>
    </row>
    <row r="185" spans="2:2" x14ac:dyDescent="0.25">
      <c r="B185" s="103"/>
    </row>
    <row r="186" spans="2:2" x14ac:dyDescent="0.25">
      <c r="B186" s="103"/>
    </row>
    <row r="187" spans="2:2" x14ac:dyDescent="0.25">
      <c r="B187" s="103"/>
    </row>
    <row r="188" spans="2:2" x14ac:dyDescent="0.25">
      <c r="B188" s="103"/>
    </row>
    <row r="189" spans="2:2" x14ac:dyDescent="0.25">
      <c r="B189" s="103"/>
    </row>
    <row r="190" spans="2:2" x14ac:dyDescent="0.25">
      <c r="B190" s="103"/>
    </row>
    <row r="191" spans="2:2" x14ac:dyDescent="0.25">
      <c r="B191" s="103"/>
    </row>
    <row r="192" spans="2:2" x14ac:dyDescent="0.25">
      <c r="B192" s="103"/>
    </row>
    <row r="193" spans="2:2" x14ac:dyDescent="0.25">
      <c r="B193" s="103"/>
    </row>
    <row r="194" spans="2:2" x14ac:dyDescent="0.25">
      <c r="B194" s="103"/>
    </row>
    <row r="195" spans="2:2" x14ac:dyDescent="0.25">
      <c r="B195" s="103"/>
    </row>
    <row r="196" spans="2:2" x14ac:dyDescent="0.25">
      <c r="B196" s="103"/>
    </row>
    <row r="197" spans="2:2" x14ac:dyDescent="0.25">
      <c r="B197" s="103"/>
    </row>
    <row r="198" spans="2:2" x14ac:dyDescent="0.25">
      <c r="B198" s="103"/>
    </row>
    <row r="199" spans="2:2" x14ac:dyDescent="0.25">
      <c r="B199" s="103"/>
    </row>
    <row r="200" spans="2:2" x14ac:dyDescent="0.25">
      <c r="B200" s="103"/>
    </row>
    <row r="201" spans="2:2" x14ac:dyDescent="0.25">
      <c r="B201" s="103"/>
    </row>
    <row r="202" spans="2:2" x14ac:dyDescent="0.25">
      <c r="B202" s="103"/>
    </row>
    <row r="203" spans="2:2" x14ac:dyDescent="0.25">
      <c r="B203" s="103"/>
    </row>
    <row r="204" spans="2:2" x14ac:dyDescent="0.25">
      <c r="B204" s="103"/>
    </row>
    <row r="205" spans="2:2" x14ac:dyDescent="0.25">
      <c r="B205" s="103"/>
    </row>
    <row r="206" spans="2:2" x14ac:dyDescent="0.25">
      <c r="B206" s="103"/>
    </row>
    <row r="207" spans="2:2" x14ac:dyDescent="0.25">
      <c r="B207" s="103"/>
    </row>
    <row r="208" spans="2:2" x14ac:dyDescent="0.25">
      <c r="B208" s="103"/>
    </row>
    <row r="209" spans="2:2" x14ac:dyDescent="0.25">
      <c r="B209" s="103"/>
    </row>
    <row r="210" spans="2:2" x14ac:dyDescent="0.25">
      <c r="B210" s="103"/>
    </row>
    <row r="211" spans="2:2" x14ac:dyDescent="0.25">
      <c r="B211" s="103"/>
    </row>
    <row r="212" spans="2:2" x14ac:dyDescent="0.25">
      <c r="B212" s="103"/>
    </row>
    <row r="213" spans="2:2" x14ac:dyDescent="0.25">
      <c r="B213" s="103"/>
    </row>
    <row r="214" spans="2:2" x14ac:dyDescent="0.25">
      <c r="B214" s="103"/>
    </row>
    <row r="215" spans="2:2" x14ac:dyDescent="0.25">
      <c r="B215" s="103"/>
    </row>
    <row r="216" spans="2:2" x14ac:dyDescent="0.25">
      <c r="B216" s="103"/>
    </row>
    <row r="217" spans="2:2" x14ac:dyDescent="0.25">
      <c r="B217" s="103"/>
    </row>
    <row r="218" spans="2:2" x14ac:dyDescent="0.25">
      <c r="B218" s="103"/>
    </row>
    <row r="219" spans="2:2" x14ac:dyDescent="0.25">
      <c r="B219" s="103"/>
    </row>
    <row r="220" spans="2:2" x14ac:dyDescent="0.25">
      <c r="B220" s="103"/>
    </row>
    <row r="221" spans="2:2" x14ac:dyDescent="0.25">
      <c r="B221" s="103"/>
    </row>
    <row r="222" spans="2:2" x14ac:dyDescent="0.25">
      <c r="B222" s="103"/>
    </row>
    <row r="223" spans="2:2" x14ac:dyDescent="0.25">
      <c r="B223" s="103"/>
    </row>
    <row r="224" spans="2:2" x14ac:dyDescent="0.25">
      <c r="B224" s="103"/>
    </row>
    <row r="225" spans="2:2" x14ac:dyDescent="0.25">
      <c r="B225" s="103"/>
    </row>
    <row r="226" spans="2:2" x14ac:dyDescent="0.25">
      <c r="B226" s="103"/>
    </row>
    <row r="227" spans="2:2" x14ac:dyDescent="0.25">
      <c r="B227" s="103"/>
    </row>
    <row r="228" spans="2:2" x14ac:dyDescent="0.25">
      <c r="B228" s="103"/>
    </row>
    <row r="229" spans="2:2" x14ac:dyDescent="0.25">
      <c r="B229" s="103"/>
    </row>
    <row r="230" spans="2:2" x14ac:dyDescent="0.25">
      <c r="B230" s="103"/>
    </row>
    <row r="231" spans="2:2" x14ac:dyDescent="0.25">
      <c r="B231" s="103"/>
    </row>
    <row r="232" spans="2:2" x14ac:dyDescent="0.25">
      <c r="B232" s="103"/>
    </row>
    <row r="233" spans="2:2" x14ac:dyDescent="0.25">
      <c r="B233" s="103"/>
    </row>
    <row r="234" spans="2:2" x14ac:dyDescent="0.25">
      <c r="B234" s="103"/>
    </row>
    <row r="235" spans="2:2" x14ac:dyDescent="0.25">
      <c r="B235" s="103"/>
    </row>
    <row r="236" spans="2:2" x14ac:dyDescent="0.25">
      <c r="B236" s="103"/>
    </row>
    <row r="237" spans="2:2" x14ac:dyDescent="0.25">
      <c r="B237" s="103"/>
    </row>
    <row r="238" spans="2:2" x14ac:dyDescent="0.25">
      <c r="B238" s="103"/>
    </row>
    <row r="239" spans="2:2" x14ac:dyDescent="0.25">
      <c r="B239" s="103"/>
    </row>
    <row r="240" spans="2:2" x14ac:dyDescent="0.25">
      <c r="B240" s="103"/>
    </row>
    <row r="241" spans="2:2" x14ac:dyDescent="0.25">
      <c r="B241" s="103"/>
    </row>
    <row r="242" spans="2:2" x14ac:dyDescent="0.25">
      <c r="B242" s="103"/>
    </row>
    <row r="243" spans="2:2" x14ac:dyDescent="0.25">
      <c r="B243" s="103"/>
    </row>
    <row r="244" spans="2:2" x14ac:dyDescent="0.25">
      <c r="B244" s="103"/>
    </row>
    <row r="245" spans="2:2" x14ac:dyDescent="0.25">
      <c r="B245" s="103"/>
    </row>
    <row r="246" spans="2:2" x14ac:dyDescent="0.25">
      <c r="B246" s="103"/>
    </row>
    <row r="247" spans="2:2" x14ac:dyDescent="0.25">
      <c r="B247" s="103"/>
    </row>
    <row r="248" spans="2:2" x14ac:dyDescent="0.25">
      <c r="B248" s="103"/>
    </row>
    <row r="249" spans="2:2" x14ac:dyDescent="0.25">
      <c r="B249" s="103"/>
    </row>
    <row r="250" spans="2:2" x14ac:dyDescent="0.25">
      <c r="B250" s="103"/>
    </row>
    <row r="251" spans="2:2" x14ac:dyDescent="0.25">
      <c r="B251" s="103"/>
    </row>
    <row r="252" spans="2:2" x14ac:dyDescent="0.25">
      <c r="B252" s="103"/>
    </row>
    <row r="253" spans="2:2" x14ac:dyDescent="0.25">
      <c r="B253" s="103"/>
    </row>
    <row r="254" spans="2:2" x14ac:dyDescent="0.25">
      <c r="B254" s="103"/>
    </row>
    <row r="255" spans="2:2" x14ac:dyDescent="0.25">
      <c r="B255" s="103"/>
    </row>
    <row r="256" spans="2:2" x14ac:dyDescent="0.25">
      <c r="B256" s="103"/>
    </row>
    <row r="257" spans="2:2" x14ac:dyDescent="0.25">
      <c r="B257" s="103"/>
    </row>
    <row r="258" spans="2:2" x14ac:dyDescent="0.25">
      <c r="B258" s="103"/>
    </row>
    <row r="259" spans="2:2" x14ac:dyDescent="0.25">
      <c r="B259" s="103"/>
    </row>
    <row r="260" spans="2:2" x14ac:dyDescent="0.25">
      <c r="B260" s="103"/>
    </row>
    <row r="261" spans="2:2" x14ac:dyDescent="0.25">
      <c r="B261" s="103"/>
    </row>
    <row r="262" spans="2:2" x14ac:dyDescent="0.25">
      <c r="B262" s="103"/>
    </row>
    <row r="263" spans="2:2" x14ac:dyDescent="0.25">
      <c r="B263" s="103"/>
    </row>
    <row r="264" spans="2:2" x14ac:dyDescent="0.25">
      <c r="B264" s="103"/>
    </row>
    <row r="265" spans="2:2" x14ac:dyDescent="0.25">
      <c r="B265" s="103"/>
    </row>
    <row r="266" spans="2:2" x14ac:dyDescent="0.25">
      <c r="B266" s="103"/>
    </row>
    <row r="267" spans="2:2" x14ac:dyDescent="0.25">
      <c r="B267" s="103"/>
    </row>
    <row r="268" spans="2:2" x14ac:dyDescent="0.25">
      <c r="B268" s="103"/>
    </row>
    <row r="269" spans="2:2" x14ac:dyDescent="0.25">
      <c r="B269" s="103"/>
    </row>
    <row r="270" spans="2:2" x14ac:dyDescent="0.25">
      <c r="B270" s="103"/>
    </row>
    <row r="271" spans="2:2" x14ac:dyDescent="0.25">
      <c r="B271" s="103"/>
    </row>
    <row r="272" spans="2:2" x14ac:dyDescent="0.25">
      <c r="B272" s="103"/>
    </row>
    <row r="273" spans="2:2" x14ac:dyDescent="0.25">
      <c r="B273" s="103"/>
    </row>
    <row r="274" spans="2:2" x14ac:dyDescent="0.25">
      <c r="B274" s="103"/>
    </row>
    <row r="275" spans="2:2" x14ac:dyDescent="0.25">
      <c r="B275" s="103"/>
    </row>
    <row r="276" spans="2:2" x14ac:dyDescent="0.25">
      <c r="B276" s="103"/>
    </row>
    <row r="277" spans="2:2" x14ac:dyDescent="0.25">
      <c r="B277" s="103"/>
    </row>
    <row r="278" spans="2:2" x14ac:dyDescent="0.25">
      <c r="B278" s="103"/>
    </row>
    <row r="279" spans="2:2" x14ac:dyDescent="0.25">
      <c r="B279" s="103"/>
    </row>
    <row r="280" spans="2:2" x14ac:dyDescent="0.25">
      <c r="B280" s="103"/>
    </row>
    <row r="281" spans="2:2" x14ac:dyDescent="0.25">
      <c r="B281" s="103"/>
    </row>
    <row r="282" spans="2:2" x14ac:dyDescent="0.25">
      <c r="B282" s="103"/>
    </row>
    <row r="283" spans="2:2" x14ac:dyDescent="0.25">
      <c r="B283" s="103"/>
    </row>
    <row r="284" spans="2:2" x14ac:dyDescent="0.25">
      <c r="B284" s="103"/>
    </row>
    <row r="285" spans="2:2" x14ac:dyDescent="0.25">
      <c r="B285" s="103"/>
    </row>
    <row r="286" spans="2:2" x14ac:dyDescent="0.25">
      <c r="B286" s="103"/>
    </row>
    <row r="287" spans="2:2" x14ac:dyDescent="0.25">
      <c r="B287" s="103"/>
    </row>
    <row r="288" spans="2:2" x14ac:dyDescent="0.25">
      <c r="B288" s="103"/>
    </row>
    <row r="289" spans="2:2" x14ac:dyDescent="0.25">
      <c r="B289" s="103"/>
    </row>
    <row r="290" spans="2:2" x14ac:dyDescent="0.25">
      <c r="B290" s="103"/>
    </row>
    <row r="291" spans="2:2" x14ac:dyDescent="0.25">
      <c r="B291" s="103"/>
    </row>
    <row r="292" spans="2:2" x14ac:dyDescent="0.25">
      <c r="B292" s="103"/>
    </row>
    <row r="293" spans="2:2" x14ac:dyDescent="0.25">
      <c r="B293" s="103"/>
    </row>
    <row r="294" spans="2:2" x14ac:dyDescent="0.25">
      <c r="B294" s="103"/>
    </row>
    <row r="295" spans="2:2" x14ac:dyDescent="0.25">
      <c r="B295" s="103"/>
    </row>
    <row r="296" spans="2:2" x14ac:dyDescent="0.25">
      <c r="B296" s="103"/>
    </row>
    <row r="297" spans="2:2" x14ac:dyDescent="0.25">
      <c r="B297" s="103"/>
    </row>
    <row r="298" spans="2:2" x14ac:dyDescent="0.25">
      <c r="B298" s="103"/>
    </row>
    <row r="299" spans="2:2" x14ac:dyDescent="0.25">
      <c r="B299" s="103"/>
    </row>
    <row r="300" spans="2:2" x14ac:dyDescent="0.25">
      <c r="B300" s="103"/>
    </row>
    <row r="301" spans="2:2" x14ac:dyDescent="0.25">
      <c r="B301" s="103"/>
    </row>
    <row r="302" spans="2:2" x14ac:dyDescent="0.25">
      <c r="B302" s="103"/>
    </row>
    <row r="303" spans="2:2" x14ac:dyDescent="0.25">
      <c r="B303" s="103"/>
    </row>
    <row r="304" spans="2:2" x14ac:dyDescent="0.25">
      <c r="B304" s="103"/>
    </row>
    <row r="305" spans="2:2" x14ac:dyDescent="0.25">
      <c r="B305" s="103"/>
    </row>
    <row r="306" spans="2:2" x14ac:dyDescent="0.25">
      <c r="B306" s="103"/>
    </row>
    <row r="307" spans="2:2" x14ac:dyDescent="0.25">
      <c r="B307" s="103"/>
    </row>
    <row r="308" spans="2:2" x14ac:dyDescent="0.25">
      <c r="B308" s="103"/>
    </row>
    <row r="309" spans="2:2" x14ac:dyDescent="0.25">
      <c r="B309" s="103"/>
    </row>
    <row r="310" spans="2:2" x14ac:dyDescent="0.25">
      <c r="B310" s="103"/>
    </row>
    <row r="311" spans="2:2" x14ac:dyDescent="0.25">
      <c r="B311" s="103"/>
    </row>
    <row r="312" spans="2:2" x14ac:dyDescent="0.25">
      <c r="B312" s="103"/>
    </row>
    <row r="313" spans="2:2" x14ac:dyDescent="0.25">
      <c r="B313" s="103"/>
    </row>
    <row r="314" spans="2:2" x14ac:dyDescent="0.25">
      <c r="B314" s="103"/>
    </row>
    <row r="315" spans="2:2" x14ac:dyDescent="0.25">
      <c r="B315" s="103"/>
    </row>
    <row r="316" spans="2:2" x14ac:dyDescent="0.25">
      <c r="B316" s="103"/>
    </row>
    <row r="317" spans="2:2" x14ac:dyDescent="0.25">
      <c r="B317" s="103"/>
    </row>
    <row r="318" spans="2:2" x14ac:dyDescent="0.25">
      <c r="B318" s="103"/>
    </row>
    <row r="319" spans="2:2" x14ac:dyDescent="0.25">
      <c r="B319" s="103"/>
    </row>
    <row r="320" spans="2:2" x14ac:dyDescent="0.25">
      <c r="B320" s="103"/>
    </row>
    <row r="321" spans="2:2" x14ac:dyDescent="0.25">
      <c r="B321" s="103"/>
    </row>
    <row r="322" spans="2:2" x14ac:dyDescent="0.25">
      <c r="B322" s="103"/>
    </row>
    <row r="323" spans="2:2" x14ac:dyDescent="0.25">
      <c r="B323" s="103"/>
    </row>
    <row r="324" spans="2:2" x14ac:dyDescent="0.25">
      <c r="B324" s="103"/>
    </row>
    <row r="325" spans="2:2" x14ac:dyDescent="0.25">
      <c r="B325" s="103"/>
    </row>
    <row r="326" spans="2:2" x14ac:dyDescent="0.25">
      <c r="B326" s="103"/>
    </row>
    <row r="327" spans="2:2" x14ac:dyDescent="0.25">
      <c r="B327" s="103"/>
    </row>
    <row r="328" spans="2:2" x14ac:dyDescent="0.25">
      <c r="B328" s="103"/>
    </row>
    <row r="329" spans="2:2" x14ac:dyDescent="0.25">
      <c r="B329" s="103"/>
    </row>
    <row r="330" spans="2:2" x14ac:dyDescent="0.25">
      <c r="B330" s="103"/>
    </row>
    <row r="331" spans="2:2" x14ac:dyDescent="0.25">
      <c r="B331" s="103"/>
    </row>
    <row r="332" spans="2:2" x14ac:dyDescent="0.25">
      <c r="B332" s="103"/>
    </row>
    <row r="333" spans="2:2" x14ac:dyDescent="0.25">
      <c r="B333" s="103"/>
    </row>
    <row r="334" spans="2:2" x14ac:dyDescent="0.25">
      <c r="B334" s="103"/>
    </row>
    <row r="335" spans="2:2" x14ac:dyDescent="0.25">
      <c r="B335" s="103"/>
    </row>
    <row r="336" spans="2:2" x14ac:dyDescent="0.25">
      <c r="B336" s="103"/>
    </row>
    <row r="337" spans="2:2" x14ac:dyDescent="0.25">
      <c r="B337" s="103"/>
    </row>
    <row r="338" spans="2:2" x14ac:dyDescent="0.25">
      <c r="B338" s="103"/>
    </row>
    <row r="339" spans="2:2" x14ac:dyDescent="0.25">
      <c r="B339" s="103"/>
    </row>
    <row r="340" spans="2:2" x14ac:dyDescent="0.25">
      <c r="B340" s="103"/>
    </row>
    <row r="341" spans="2:2" x14ac:dyDescent="0.25">
      <c r="B341" s="103"/>
    </row>
    <row r="342" spans="2:2" x14ac:dyDescent="0.25">
      <c r="B342" s="103"/>
    </row>
    <row r="343" spans="2:2" x14ac:dyDescent="0.25">
      <c r="B343" s="103"/>
    </row>
    <row r="344" spans="2:2" x14ac:dyDescent="0.25">
      <c r="B344" s="103"/>
    </row>
    <row r="345" spans="2:2" x14ac:dyDescent="0.25">
      <c r="B345" s="103"/>
    </row>
    <row r="346" spans="2:2" x14ac:dyDescent="0.25">
      <c r="B346" s="103"/>
    </row>
    <row r="347" spans="2:2" x14ac:dyDescent="0.25">
      <c r="B347" s="103"/>
    </row>
    <row r="348" spans="2:2" x14ac:dyDescent="0.25">
      <c r="B348" s="103"/>
    </row>
    <row r="349" spans="2:2" x14ac:dyDescent="0.25">
      <c r="B349" s="103"/>
    </row>
    <row r="350" spans="2:2" x14ac:dyDescent="0.25">
      <c r="B350" s="103"/>
    </row>
    <row r="351" spans="2:2" x14ac:dyDescent="0.25">
      <c r="B351" s="103"/>
    </row>
    <row r="352" spans="2:2" x14ac:dyDescent="0.25">
      <c r="B352" s="103"/>
    </row>
    <row r="353" spans="2:2" x14ac:dyDescent="0.25">
      <c r="B353" s="103"/>
    </row>
    <row r="354" spans="2:2" x14ac:dyDescent="0.25">
      <c r="B354" s="103"/>
    </row>
    <row r="355" spans="2:2" x14ac:dyDescent="0.25">
      <c r="B355" s="103"/>
    </row>
    <row r="356" spans="2:2" x14ac:dyDescent="0.25">
      <c r="B356" s="103"/>
    </row>
    <row r="357" spans="2:2" x14ac:dyDescent="0.25">
      <c r="B357" s="103"/>
    </row>
    <row r="358" spans="2:2" x14ac:dyDescent="0.25">
      <c r="B358" s="103"/>
    </row>
    <row r="359" spans="2:2" x14ac:dyDescent="0.25">
      <c r="B359" s="103"/>
    </row>
    <row r="360" spans="2:2" x14ac:dyDescent="0.25">
      <c r="B360" s="103"/>
    </row>
    <row r="361" spans="2:2" x14ac:dyDescent="0.25">
      <c r="B361" s="103"/>
    </row>
    <row r="362" spans="2:2" x14ac:dyDescent="0.25">
      <c r="B362" s="103"/>
    </row>
    <row r="363" spans="2:2" x14ac:dyDescent="0.25">
      <c r="B363" s="103"/>
    </row>
    <row r="364" spans="2:2" x14ac:dyDescent="0.25">
      <c r="B364" s="103"/>
    </row>
    <row r="365" spans="2:2" x14ac:dyDescent="0.25">
      <c r="B365" s="103"/>
    </row>
    <row r="366" spans="2:2" x14ac:dyDescent="0.25">
      <c r="B366" s="103"/>
    </row>
    <row r="367" spans="2:2" x14ac:dyDescent="0.25">
      <c r="B367" s="103"/>
    </row>
    <row r="368" spans="2:2" x14ac:dyDescent="0.25">
      <c r="B368" s="103"/>
    </row>
    <row r="369" spans="2:2" x14ac:dyDescent="0.25">
      <c r="B369" s="103"/>
    </row>
    <row r="370" spans="2:2" x14ac:dyDescent="0.25">
      <c r="B370" s="103"/>
    </row>
    <row r="371" spans="2:2" x14ac:dyDescent="0.25">
      <c r="B371" s="103"/>
    </row>
    <row r="372" spans="2:2" x14ac:dyDescent="0.25">
      <c r="B372" s="103"/>
    </row>
    <row r="373" spans="2:2" x14ac:dyDescent="0.25">
      <c r="B373" s="103"/>
    </row>
    <row r="374" spans="2:2" x14ac:dyDescent="0.25">
      <c r="B374" s="103"/>
    </row>
    <row r="375" spans="2:2" x14ac:dyDescent="0.25">
      <c r="B375" s="103"/>
    </row>
    <row r="376" spans="2:2" x14ac:dyDescent="0.25">
      <c r="B376" s="103"/>
    </row>
    <row r="377" spans="2:2" x14ac:dyDescent="0.25">
      <c r="B377" s="103"/>
    </row>
    <row r="378" spans="2:2" x14ac:dyDescent="0.25">
      <c r="B378" s="103"/>
    </row>
    <row r="379" spans="2:2" x14ac:dyDescent="0.25">
      <c r="B379" s="103"/>
    </row>
    <row r="380" spans="2:2" x14ac:dyDescent="0.25">
      <c r="B380" s="103"/>
    </row>
    <row r="381" spans="2:2" x14ac:dyDescent="0.25">
      <c r="B381" s="103"/>
    </row>
    <row r="382" spans="2:2" x14ac:dyDescent="0.25">
      <c r="B382" s="103"/>
    </row>
    <row r="383" spans="2:2" x14ac:dyDescent="0.25">
      <c r="B383" s="103"/>
    </row>
    <row r="384" spans="2:2" x14ac:dyDescent="0.25">
      <c r="B384" s="103"/>
    </row>
    <row r="385" spans="2:2" x14ac:dyDescent="0.25">
      <c r="B385" s="103"/>
    </row>
    <row r="386" spans="2:2" x14ac:dyDescent="0.25">
      <c r="B386" s="103"/>
    </row>
    <row r="387" spans="2:2" x14ac:dyDescent="0.25">
      <c r="B387" s="103"/>
    </row>
    <row r="388" spans="2:2" x14ac:dyDescent="0.25">
      <c r="B388" s="103"/>
    </row>
    <row r="389" spans="2:2" x14ac:dyDescent="0.25">
      <c r="B389" s="103"/>
    </row>
    <row r="390" spans="2:2" x14ac:dyDescent="0.25">
      <c r="B390" s="103"/>
    </row>
    <row r="391" spans="2:2" x14ac:dyDescent="0.25">
      <c r="B391" s="103"/>
    </row>
    <row r="392" spans="2:2" x14ac:dyDescent="0.25">
      <c r="B392" s="103"/>
    </row>
    <row r="393" spans="2:2" x14ac:dyDescent="0.25">
      <c r="B393" s="103"/>
    </row>
    <row r="394" spans="2:2" x14ac:dyDescent="0.25">
      <c r="B394" s="103"/>
    </row>
    <row r="395" spans="2:2" x14ac:dyDescent="0.25">
      <c r="B395" s="103"/>
    </row>
    <row r="396" spans="2:2" x14ac:dyDescent="0.25">
      <c r="B396" s="103"/>
    </row>
    <row r="397" spans="2:2" x14ac:dyDescent="0.25">
      <c r="B397" s="103"/>
    </row>
    <row r="398" spans="2:2" x14ac:dyDescent="0.25">
      <c r="B398" s="103"/>
    </row>
    <row r="399" spans="2:2" x14ac:dyDescent="0.25">
      <c r="B399" s="103"/>
    </row>
    <row r="400" spans="2:2" x14ac:dyDescent="0.25">
      <c r="B400" s="103"/>
    </row>
    <row r="401" spans="2:2" x14ac:dyDescent="0.25">
      <c r="B401" s="103"/>
    </row>
    <row r="402" spans="2:2" x14ac:dyDescent="0.25">
      <c r="B402" s="103"/>
    </row>
    <row r="403" spans="2:2" x14ac:dyDescent="0.25">
      <c r="B403" s="103"/>
    </row>
    <row r="404" spans="2:2" x14ac:dyDescent="0.25">
      <c r="B404" s="103"/>
    </row>
    <row r="405" spans="2:2" x14ac:dyDescent="0.25">
      <c r="B405" s="103"/>
    </row>
    <row r="406" spans="2:2" x14ac:dyDescent="0.25">
      <c r="B406" s="103"/>
    </row>
    <row r="407" spans="2:2" x14ac:dyDescent="0.25">
      <c r="B407" s="103"/>
    </row>
    <row r="408" spans="2:2" x14ac:dyDescent="0.25">
      <c r="B408" s="103"/>
    </row>
    <row r="409" spans="2:2" x14ac:dyDescent="0.25">
      <c r="B409" s="103"/>
    </row>
    <row r="410" spans="2:2" x14ac:dyDescent="0.25">
      <c r="B410" s="103"/>
    </row>
    <row r="411" spans="2:2" x14ac:dyDescent="0.25">
      <c r="B411" s="103"/>
    </row>
    <row r="412" spans="2:2" x14ac:dyDescent="0.25">
      <c r="B412" s="103"/>
    </row>
    <row r="413" spans="2:2" x14ac:dyDescent="0.25">
      <c r="B413" s="103"/>
    </row>
    <row r="414" spans="2:2" x14ac:dyDescent="0.25">
      <c r="B414" s="103"/>
    </row>
    <row r="415" spans="2:2" x14ac:dyDescent="0.25">
      <c r="B415" s="103"/>
    </row>
    <row r="416" spans="2:2" x14ac:dyDescent="0.25">
      <c r="B416" s="103"/>
    </row>
    <row r="417" spans="2:2" x14ac:dyDescent="0.25">
      <c r="B417" s="103"/>
    </row>
    <row r="418" spans="2:2" x14ac:dyDescent="0.25">
      <c r="B418" s="103"/>
    </row>
    <row r="419" spans="2:2" x14ac:dyDescent="0.25">
      <c r="B419" s="103"/>
    </row>
    <row r="420" spans="2:2" x14ac:dyDescent="0.25">
      <c r="B420" s="103"/>
    </row>
    <row r="421" spans="2:2" x14ac:dyDescent="0.25">
      <c r="B421" s="103"/>
    </row>
    <row r="422" spans="2:2" x14ac:dyDescent="0.25">
      <c r="B422" s="103"/>
    </row>
    <row r="423" spans="2:2" x14ac:dyDescent="0.25">
      <c r="B423" s="103"/>
    </row>
    <row r="424" spans="2:2" x14ac:dyDescent="0.25">
      <c r="B424" s="103"/>
    </row>
    <row r="425" spans="2:2" x14ac:dyDescent="0.25">
      <c r="B425" s="103"/>
    </row>
    <row r="426" spans="2:2" x14ac:dyDescent="0.25">
      <c r="B426" s="103"/>
    </row>
    <row r="427" spans="2:2" x14ac:dyDescent="0.25">
      <c r="B427" s="103"/>
    </row>
    <row r="428" spans="2:2" x14ac:dyDescent="0.25">
      <c r="B428" s="103"/>
    </row>
    <row r="429" spans="2:2" x14ac:dyDescent="0.25">
      <c r="B429" s="103"/>
    </row>
    <row r="430" spans="2:2" x14ac:dyDescent="0.25">
      <c r="B430" s="103"/>
    </row>
    <row r="431" spans="2:2" x14ac:dyDescent="0.25">
      <c r="B431" s="103"/>
    </row>
    <row r="432" spans="2:2" x14ac:dyDescent="0.25">
      <c r="B432" s="103"/>
    </row>
    <row r="433" spans="2:2" x14ac:dyDescent="0.25">
      <c r="B433" s="103"/>
    </row>
    <row r="434" spans="2:2" x14ac:dyDescent="0.25">
      <c r="B434" s="103"/>
    </row>
    <row r="435" spans="2:2" x14ac:dyDescent="0.25">
      <c r="B435" s="103"/>
    </row>
    <row r="436" spans="2:2" x14ac:dyDescent="0.25">
      <c r="B436" s="103"/>
    </row>
    <row r="437" spans="2:2" x14ac:dyDescent="0.25">
      <c r="B437" s="103"/>
    </row>
    <row r="438" spans="2:2" x14ac:dyDescent="0.25">
      <c r="B438" s="103"/>
    </row>
    <row r="439" spans="2:2" x14ac:dyDescent="0.25">
      <c r="B439" s="103"/>
    </row>
    <row r="440" spans="2:2" x14ac:dyDescent="0.25">
      <c r="B440" s="103"/>
    </row>
    <row r="441" spans="2:2" x14ac:dyDescent="0.25">
      <c r="B441" s="103"/>
    </row>
    <row r="442" spans="2:2" x14ac:dyDescent="0.25">
      <c r="B442" s="103"/>
    </row>
    <row r="443" spans="2:2" x14ac:dyDescent="0.25">
      <c r="B443" s="103"/>
    </row>
    <row r="444" spans="2:2" x14ac:dyDescent="0.25">
      <c r="B444" s="103"/>
    </row>
    <row r="445" spans="2:2" x14ac:dyDescent="0.25">
      <c r="B445" s="103"/>
    </row>
    <row r="446" spans="2:2" x14ac:dyDescent="0.25">
      <c r="B446" s="103"/>
    </row>
    <row r="447" spans="2:2" x14ac:dyDescent="0.25">
      <c r="B447" s="103"/>
    </row>
    <row r="448" spans="2:2" x14ac:dyDescent="0.25">
      <c r="B448" s="103"/>
    </row>
    <row r="449" spans="2:2" x14ac:dyDescent="0.25">
      <c r="B449" s="103"/>
    </row>
    <row r="450" spans="2:2" x14ac:dyDescent="0.25">
      <c r="B450" s="103"/>
    </row>
    <row r="451" spans="2:2" x14ac:dyDescent="0.25">
      <c r="B451" s="103"/>
    </row>
    <row r="452" spans="2:2" x14ac:dyDescent="0.25">
      <c r="B452" s="103"/>
    </row>
    <row r="453" spans="2:2" x14ac:dyDescent="0.25">
      <c r="B453" s="103"/>
    </row>
    <row r="454" spans="2:2" x14ac:dyDescent="0.25">
      <c r="B454" s="103"/>
    </row>
    <row r="455" spans="2:2" x14ac:dyDescent="0.25">
      <c r="B455" s="103"/>
    </row>
    <row r="456" spans="2:2" x14ac:dyDescent="0.25">
      <c r="B456" s="103"/>
    </row>
    <row r="457" spans="2:2" x14ac:dyDescent="0.25">
      <c r="B457" s="103"/>
    </row>
    <row r="458" spans="2:2" x14ac:dyDescent="0.25">
      <c r="B458" s="103"/>
    </row>
    <row r="459" spans="2:2" x14ac:dyDescent="0.25">
      <c r="B459" s="103"/>
    </row>
    <row r="460" spans="2:2" x14ac:dyDescent="0.25">
      <c r="B460" s="103"/>
    </row>
    <row r="461" spans="2:2" x14ac:dyDescent="0.25">
      <c r="B461" s="103"/>
    </row>
    <row r="462" spans="2:2" x14ac:dyDescent="0.25">
      <c r="B462" s="103"/>
    </row>
    <row r="463" spans="2:2" x14ac:dyDescent="0.25">
      <c r="B463" s="103"/>
    </row>
    <row r="464" spans="2:2" x14ac:dyDescent="0.25">
      <c r="B464" s="103"/>
    </row>
    <row r="465" spans="2:2" x14ac:dyDescent="0.25">
      <c r="B465" s="103"/>
    </row>
    <row r="466" spans="2:2" x14ac:dyDescent="0.25">
      <c r="B466" s="103"/>
    </row>
    <row r="467" spans="2:2" x14ac:dyDescent="0.25">
      <c r="B467" s="103"/>
    </row>
    <row r="468" spans="2:2" x14ac:dyDescent="0.25">
      <c r="B468" s="103"/>
    </row>
    <row r="469" spans="2:2" x14ac:dyDescent="0.25">
      <c r="B469" s="103"/>
    </row>
    <row r="470" spans="2:2" x14ac:dyDescent="0.25">
      <c r="B470" s="103"/>
    </row>
    <row r="471" spans="2:2" x14ac:dyDescent="0.25">
      <c r="B471" s="103"/>
    </row>
    <row r="472" spans="2:2" x14ac:dyDescent="0.25">
      <c r="B472" s="103"/>
    </row>
    <row r="473" spans="2:2" x14ac:dyDescent="0.25">
      <c r="B473" s="103"/>
    </row>
    <row r="474" spans="2:2" x14ac:dyDescent="0.25">
      <c r="B474" s="103"/>
    </row>
    <row r="475" spans="2:2" x14ac:dyDescent="0.25">
      <c r="B475" s="103"/>
    </row>
    <row r="476" spans="2:2" x14ac:dyDescent="0.25">
      <c r="B476" s="103"/>
    </row>
    <row r="477" spans="2:2" x14ac:dyDescent="0.25">
      <c r="B477" s="103"/>
    </row>
    <row r="478" spans="2:2" x14ac:dyDescent="0.25">
      <c r="B478" s="103"/>
    </row>
    <row r="479" spans="2:2" x14ac:dyDescent="0.25">
      <c r="B479" s="103"/>
    </row>
    <row r="480" spans="2:2" x14ac:dyDescent="0.25">
      <c r="B480" s="103"/>
    </row>
    <row r="481" spans="2:2" x14ac:dyDescent="0.25">
      <c r="B481" s="103"/>
    </row>
    <row r="482" spans="2:2" x14ac:dyDescent="0.25">
      <c r="B482" s="103"/>
    </row>
    <row r="483" spans="2:2" x14ac:dyDescent="0.25">
      <c r="B483" s="103"/>
    </row>
    <row r="484" spans="2:2" x14ac:dyDescent="0.25">
      <c r="B484" s="103"/>
    </row>
    <row r="485" spans="2:2" x14ac:dyDescent="0.25">
      <c r="B485" s="103"/>
    </row>
    <row r="486" spans="2:2" x14ac:dyDescent="0.25">
      <c r="B486" s="103"/>
    </row>
    <row r="487" spans="2:2" x14ac:dyDescent="0.25">
      <c r="B487" s="103"/>
    </row>
    <row r="488" spans="2:2" x14ac:dyDescent="0.25">
      <c r="B488" s="103"/>
    </row>
    <row r="489" spans="2:2" x14ac:dyDescent="0.25">
      <c r="B489" s="103"/>
    </row>
    <row r="490" spans="2:2" x14ac:dyDescent="0.25">
      <c r="B490" s="103"/>
    </row>
    <row r="491" spans="2:2" x14ac:dyDescent="0.25">
      <c r="B491" s="103"/>
    </row>
    <row r="492" spans="2:2" x14ac:dyDescent="0.25">
      <c r="B492" s="103"/>
    </row>
    <row r="493" spans="2:2" x14ac:dyDescent="0.25">
      <c r="B493" s="103"/>
    </row>
    <row r="494" spans="2:2" x14ac:dyDescent="0.25">
      <c r="B494" s="103"/>
    </row>
    <row r="495" spans="2:2" x14ac:dyDescent="0.25">
      <c r="B495" s="103"/>
    </row>
    <row r="496" spans="2:2" x14ac:dyDescent="0.25">
      <c r="B496" s="103"/>
    </row>
    <row r="497" spans="2:2" x14ac:dyDescent="0.25">
      <c r="B497" s="103"/>
    </row>
    <row r="498" spans="2:2" x14ac:dyDescent="0.25">
      <c r="B498" s="103"/>
    </row>
    <row r="499" spans="2:2" x14ac:dyDescent="0.25">
      <c r="B499" s="103"/>
    </row>
    <row r="500" spans="2:2" x14ac:dyDescent="0.25">
      <c r="B500" s="103"/>
    </row>
    <row r="501" spans="2:2" x14ac:dyDescent="0.25">
      <c r="B501" s="103"/>
    </row>
    <row r="502" spans="2:2" x14ac:dyDescent="0.25">
      <c r="B502" s="103"/>
    </row>
    <row r="503" spans="2:2" x14ac:dyDescent="0.25">
      <c r="B503" s="103"/>
    </row>
    <row r="504" spans="2:2" x14ac:dyDescent="0.25">
      <c r="B504" s="103"/>
    </row>
    <row r="505" spans="2:2" x14ac:dyDescent="0.25">
      <c r="B505" s="103"/>
    </row>
    <row r="506" spans="2:2" x14ac:dyDescent="0.25">
      <c r="B506" s="103"/>
    </row>
    <row r="507" spans="2:2" x14ac:dyDescent="0.25">
      <c r="B507" s="103"/>
    </row>
    <row r="508" spans="2:2" x14ac:dyDescent="0.25">
      <c r="B508" s="103"/>
    </row>
    <row r="509" spans="2:2" x14ac:dyDescent="0.25">
      <c r="B509" s="103"/>
    </row>
    <row r="510" spans="2:2" x14ac:dyDescent="0.25">
      <c r="B510" s="103"/>
    </row>
    <row r="511" spans="2:2" x14ac:dyDescent="0.25">
      <c r="B511" s="103"/>
    </row>
    <row r="512" spans="2:2" x14ac:dyDescent="0.25">
      <c r="B512" s="103"/>
    </row>
    <row r="513" spans="2:2" x14ac:dyDescent="0.25">
      <c r="B513" s="103"/>
    </row>
    <row r="514" spans="2:2" x14ac:dyDescent="0.25">
      <c r="B514" s="103"/>
    </row>
    <row r="515" spans="2:2" x14ac:dyDescent="0.25">
      <c r="B515" s="103"/>
    </row>
    <row r="516" spans="2:2" x14ac:dyDescent="0.25">
      <c r="B516" s="103"/>
    </row>
    <row r="517" spans="2:2" x14ac:dyDescent="0.25">
      <c r="B517" s="103"/>
    </row>
    <row r="518" spans="2:2" x14ac:dyDescent="0.25">
      <c r="B518" s="103"/>
    </row>
    <row r="519" spans="2:2" x14ac:dyDescent="0.25">
      <c r="B519" s="103"/>
    </row>
    <row r="520" spans="2:2" x14ac:dyDescent="0.25">
      <c r="B520" s="103"/>
    </row>
    <row r="521" spans="2:2" x14ac:dyDescent="0.25">
      <c r="B521" s="103"/>
    </row>
    <row r="522" spans="2:2" x14ac:dyDescent="0.25">
      <c r="B522" s="103"/>
    </row>
    <row r="523" spans="2:2" x14ac:dyDescent="0.25">
      <c r="B523" s="103"/>
    </row>
    <row r="524" spans="2:2" x14ac:dyDescent="0.25">
      <c r="B524" s="103"/>
    </row>
    <row r="525" spans="2:2" x14ac:dyDescent="0.25">
      <c r="B525" s="103"/>
    </row>
    <row r="526" spans="2:2" x14ac:dyDescent="0.25">
      <c r="B526" s="103"/>
    </row>
    <row r="527" spans="2:2" x14ac:dyDescent="0.25">
      <c r="B527" s="103"/>
    </row>
    <row r="528" spans="2:2" x14ac:dyDescent="0.25">
      <c r="B528" s="103"/>
    </row>
  </sheetData>
  <sheetProtection formatCells="0"/>
  <protectedRanges>
    <protectedRange sqref="N7:N9 N17:N19 N29:N31 N34:N36 N44:N46 N49:N51 N83:N85 N88:N90 N97:N99 N127:N129 N136:N138" name="Område3"/>
    <protectedRange sqref="F2:I138 B136:E138 D130:D135 B127:E129 D100:D126 B97:E99 D92:D96 B88:E90 D87 B83:E85 D73:D82 B69:E71 D64:D68 B60:E62 D52:D59 B49:E51 D48 B44:E46 D39:D43 B34:E36 D33 B29:E31 D20:D28 B18:E19 B17:F17 D10:D16 B7:E9 D3:D6" name="Område1"/>
    <protectedRange sqref="B2 N69:N71 N60:N62" name="Område2"/>
  </protectedRanges>
  <autoFilter ref="A1:J139"/>
  <printOptions gridLines="1"/>
  <pageMargins left="0.23622047244094491" right="0.23622047244094491" top="0.74803149606299213" bottom="0.74803149606299213" header="0.31496062992125984" footer="0.31496062992125984"/>
  <pageSetup paperSize="8" scale="66" fitToHeight="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63"/>
  <sheetViews>
    <sheetView topLeftCell="B1" workbookViewId="0">
      <pane ySplit="1" topLeftCell="A17" activePane="bottomLeft" state="frozen"/>
      <selection pane="bottomLeft" activeCell="B45" sqref="B45"/>
    </sheetView>
  </sheetViews>
  <sheetFormatPr baseColWidth="10" defaultColWidth="19.7109375" defaultRowHeight="15" customHeight="1" x14ac:dyDescent="0.25"/>
  <cols>
    <col min="1" max="1" width="24.28515625" style="52" customWidth="1"/>
    <col min="2" max="2" width="53.85546875" customWidth="1"/>
    <col min="3" max="3" width="9.7109375" customWidth="1"/>
    <col min="4" max="4" width="18.42578125" customWidth="1"/>
    <col min="5" max="6" width="18.28515625" style="40" bestFit="1" customWidth="1"/>
    <col min="7" max="7" width="17.42578125" customWidth="1"/>
    <col min="8" max="8" width="17.42578125" style="40" customWidth="1"/>
    <col min="9" max="9" width="111.42578125" customWidth="1"/>
  </cols>
  <sheetData>
    <row r="1" spans="1:10" s="48" customFormat="1" ht="29.25" customHeight="1" thickBot="1" x14ac:dyDescent="0.3">
      <c r="A1" s="153" t="s">
        <v>0</v>
      </c>
      <c r="B1" s="154" t="s">
        <v>1</v>
      </c>
      <c r="C1" s="155" t="s">
        <v>71</v>
      </c>
      <c r="D1" s="155" t="s">
        <v>186</v>
      </c>
      <c r="E1" s="154">
        <v>2016</v>
      </c>
      <c r="F1" s="154">
        <v>2017</v>
      </c>
      <c r="G1" s="154">
        <v>2018</v>
      </c>
      <c r="H1" s="154">
        <v>2019</v>
      </c>
      <c r="I1" s="156" t="s">
        <v>72</v>
      </c>
    </row>
    <row r="2" spans="1:10" s="67" customFormat="1" ht="15" customHeight="1" thickBot="1" x14ac:dyDescent="0.3">
      <c r="A2" s="166" t="s">
        <v>243</v>
      </c>
      <c r="B2" s="150" t="s">
        <v>243</v>
      </c>
      <c r="C2" s="151" t="s">
        <v>189</v>
      </c>
      <c r="D2" s="151"/>
      <c r="E2" s="168">
        <v>-6000000</v>
      </c>
      <c r="F2" s="168">
        <v>-167000000</v>
      </c>
      <c r="G2" s="168">
        <v>0</v>
      </c>
      <c r="H2" s="168">
        <v>-75000000</v>
      </c>
      <c r="I2" s="152" t="s">
        <v>244</v>
      </c>
    </row>
    <row r="3" spans="1:10" s="67" customFormat="1" ht="15" customHeight="1" thickBot="1" x14ac:dyDescent="0.3">
      <c r="A3" s="167" t="s">
        <v>74</v>
      </c>
      <c r="B3" s="147" t="s">
        <v>245</v>
      </c>
      <c r="C3" s="148" t="s">
        <v>189</v>
      </c>
      <c r="D3" s="148"/>
      <c r="E3" s="287">
        <v>-3500000</v>
      </c>
      <c r="F3" s="287">
        <v>-3500000</v>
      </c>
      <c r="G3" s="169">
        <v>-3500000</v>
      </c>
      <c r="H3" s="169">
        <v>-3500000</v>
      </c>
      <c r="I3" s="149" t="s">
        <v>246</v>
      </c>
    </row>
    <row r="4" spans="1:10" s="67" customFormat="1" ht="15" customHeight="1" x14ac:dyDescent="0.25">
      <c r="A4" s="326" t="s">
        <v>3</v>
      </c>
      <c r="B4" s="157" t="str">
        <f>'B 2016-2019'!B11</f>
        <v>Skadbergv./Åsenv. lavbl. (50 leil. for salg)</v>
      </c>
      <c r="C4" s="158">
        <f>'B 2016-2019'!C11</f>
        <v>39068</v>
      </c>
      <c r="D4" s="159">
        <f>'B 2016-2019'!D11</f>
        <v>137444000</v>
      </c>
      <c r="E4" s="170">
        <v>-76453000</v>
      </c>
      <c r="F4" s="170">
        <v>-76453000</v>
      </c>
      <c r="G4" s="170">
        <v>0</v>
      </c>
      <c r="H4" s="170">
        <v>0</v>
      </c>
      <c r="I4" s="160" t="s">
        <v>247</v>
      </c>
    </row>
    <row r="5" spans="1:10" s="67" customFormat="1" ht="15" customHeight="1" x14ac:dyDescent="0.25">
      <c r="A5" s="327"/>
      <c r="B5" s="62" t="str">
        <f>'B 2016-2019'!B12</f>
        <v>Skadbergv./Åsenv. lavbl. (50 leil. for salg)</v>
      </c>
      <c r="C5" s="69">
        <f>'B 2016-2019'!C12</f>
        <v>39068</v>
      </c>
      <c r="D5" s="50"/>
      <c r="E5" s="171">
        <v>7731000</v>
      </c>
      <c r="F5" s="171">
        <v>7731000</v>
      </c>
      <c r="G5" s="171">
        <v>0</v>
      </c>
      <c r="H5" s="171">
        <v>0</v>
      </c>
      <c r="I5" s="146" t="s">
        <v>85</v>
      </c>
    </row>
    <row r="6" spans="1:10" s="67" customFormat="1" ht="15" customHeight="1" x14ac:dyDescent="0.25">
      <c r="A6" s="327"/>
      <c r="B6" s="62" t="str">
        <f>'B 2016-2019'!B13</f>
        <v>Myklebust felt CB-6-12-13 (38 leil. for salg)</v>
      </c>
      <c r="C6" s="69">
        <f>'B 2016-2019'!C13</f>
        <v>39082</v>
      </c>
      <c r="D6" s="50">
        <f>'B 2016-2019'!D13</f>
        <v>124126000</v>
      </c>
      <c r="E6" s="171">
        <v>-89176000</v>
      </c>
      <c r="F6" s="171">
        <v>0</v>
      </c>
      <c r="G6" s="171">
        <v>0</v>
      </c>
      <c r="H6" s="171">
        <v>0</v>
      </c>
      <c r="I6" s="146" t="s">
        <v>247</v>
      </c>
    </row>
    <row r="7" spans="1:10" s="67" customFormat="1" ht="15" customHeight="1" x14ac:dyDescent="0.25">
      <c r="A7" s="327"/>
      <c r="B7" s="62" t="str">
        <f>'B 2016-2019'!B14</f>
        <v>Myklebust felt CB-6-12-13 (38 leil. for salg)</v>
      </c>
      <c r="C7" s="69">
        <f>'B 2016-2019'!C14</f>
        <v>39082</v>
      </c>
      <c r="D7" s="50"/>
      <c r="E7" s="171">
        <v>4248000</v>
      </c>
      <c r="F7" s="171">
        <v>0</v>
      </c>
      <c r="G7" s="171">
        <v>0</v>
      </c>
      <c r="H7" s="171">
        <v>0</v>
      </c>
      <c r="I7" s="146" t="s">
        <v>85</v>
      </c>
    </row>
    <row r="8" spans="1:10" s="67" customFormat="1" ht="15" customHeight="1" x14ac:dyDescent="0.25">
      <c r="A8" s="327"/>
      <c r="B8" s="62" t="str">
        <f>'B 2016-2019'!B15</f>
        <v>Myklebust felt CB-8-11-14 (22 rekkehus for salg)</v>
      </c>
      <c r="C8" s="69">
        <f>'B 2016-2019'!C15</f>
        <v>39083</v>
      </c>
      <c r="D8" s="50">
        <f>'B 2016-2019'!D15</f>
        <v>99636000</v>
      </c>
      <c r="E8" s="171">
        <v>-104618000</v>
      </c>
      <c r="F8" s="171">
        <v>0</v>
      </c>
      <c r="G8" s="171">
        <v>0</v>
      </c>
      <c r="H8" s="171">
        <v>0</v>
      </c>
      <c r="I8" s="146" t="s">
        <v>247</v>
      </c>
    </row>
    <row r="9" spans="1:10" s="67" customFormat="1" ht="15" customHeight="1" x14ac:dyDescent="0.25">
      <c r="A9" s="327"/>
      <c r="B9" s="62" t="str">
        <f>'B 2016-2019'!B16</f>
        <v>Myklebust felt CB-8-11-14 (22 rekkehus for salg)</v>
      </c>
      <c r="C9" s="69">
        <f>'B 2016-2019'!C16</f>
        <v>39083</v>
      </c>
      <c r="D9" s="50"/>
      <c r="E9" s="171">
        <v>4982000</v>
      </c>
      <c r="F9" s="171">
        <v>0</v>
      </c>
      <c r="G9" s="171">
        <v>0</v>
      </c>
      <c r="H9" s="171">
        <v>0</v>
      </c>
      <c r="I9" s="146" t="s">
        <v>85</v>
      </c>
    </row>
    <row r="10" spans="1:10" s="49" customFormat="1" ht="30" customHeight="1" thickBot="1" x14ac:dyDescent="0.3">
      <c r="A10" s="328"/>
      <c r="B10" s="187" t="s">
        <v>73</v>
      </c>
      <c r="C10" s="188"/>
      <c r="D10" s="188"/>
      <c r="E10" s="189">
        <f>E5+E7+E9</f>
        <v>16961000</v>
      </c>
      <c r="F10" s="189">
        <f>F5+F7+F9</f>
        <v>7731000</v>
      </c>
      <c r="G10" s="189">
        <f t="shared" ref="G10:H10" si="0">G5+G7+G9</f>
        <v>0</v>
      </c>
      <c r="H10" s="189">
        <f t="shared" si="0"/>
        <v>0</v>
      </c>
      <c r="I10" s="190" t="s">
        <v>248</v>
      </c>
    </row>
    <row r="11" spans="1:10" s="69" customFormat="1" ht="14.25" customHeight="1" thickBot="1" x14ac:dyDescent="0.3">
      <c r="A11" s="204" t="s">
        <v>132</v>
      </c>
      <c r="B11" s="161" t="str">
        <f>'B 2016-2019'!B42</f>
        <v>Intern prosjektledelse eiendomsutvikling (årsbev.)</v>
      </c>
      <c r="C11" s="162">
        <f>'B 2016-2019'!C42</f>
        <v>19600</v>
      </c>
      <c r="D11" s="162"/>
      <c r="E11" s="172">
        <f>-'B 2016-2019'!F42</f>
        <v>-6883000</v>
      </c>
      <c r="F11" s="172">
        <f>-'B 2016-2019'!G42</f>
        <v>-6883000</v>
      </c>
      <c r="G11" s="172">
        <f>-'B 2016-2019'!H42</f>
        <v>-6883000</v>
      </c>
      <c r="H11" s="172">
        <f>-'B 2016-2019'!I42</f>
        <v>-6883000</v>
      </c>
      <c r="I11" s="163"/>
      <c r="J11" s="191"/>
    </row>
    <row r="12" spans="1:10" s="69" customFormat="1" ht="14.25" customHeight="1" x14ac:dyDescent="0.25">
      <c r="A12" s="338" t="s">
        <v>14</v>
      </c>
      <c r="B12" s="157" t="str">
        <f>'B 2016-2019'!B52</f>
        <v>Skadbergv./Åsenv. lavbl. (10 komm. leil.)(BSHP)</v>
      </c>
      <c r="C12" s="158">
        <f>'B 2016-2019'!C52</f>
        <v>39074</v>
      </c>
      <c r="D12" s="159">
        <f>'B 2016-2019'!D52</f>
        <v>25194000</v>
      </c>
      <c r="E12" s="170">
        <f>ROUND(-D12*0.3,-3)</f>
        <v>-7558000</v>
      </c>
      <c r="F12" s="170">
        <v>0</v>
      </c>
      <c r="G12" s="170">
        <v>0</v>
      </c>
      <c r="H12" s="170">
        <v>0</v>
      </c>
      <c r="I12" s="160" t="s">
        <v>250</v>
      </c>
      <c r="J12" s="191"/>
    </row>
    <row r="13" spans="1:10" s="69" customFormat="1" ht="14.25" customHeight="1" x14ac:dyDescent="0.25">
      <c r="A13" s="339"/>
      <c r="B13" s="62" t="str">
        <f>'B 2016-2019'!B53</f>
        <v>Bokollektiv Skadbergv./Åsenv. (4 leil. + pers.base) (BSHP)</v>
      </c>
      <c r="C13" s="69">
        <f>'B 2016-2019'!C53</f>
        <v>39050</v>
      </c>
      <c r="D13" s="50">
        <f>'B 2016-2019'!D53</f>
        <v>9686000</v>
      </c>
      <c r="E13" s="171">
        <f>ROUND(MAX((D13*-0.45),-1575000*4),-3)</f>
        <v>-4359000</v>
      </c>
      <c r="F13" s="171">
        <v>0</v>
      </c>
      <c r="G13" s="171">
        <v>0</v>
      </c>
      <c r="H13" s="171">
        <v>0</v>
      </c>
      <c r="I13" s="146" t="s">
        <v>249</v>
      </c>
      <c r="J13" s="191"/>
    </row>
    <row r="14" spans="1:10" s="51" customFormat="1" ht="15" customHeight="1" x14ac:dyDescent="0.25">
      <c r="A14" s="339"/>
      <c r="B14" s="62" t="str">
        <f>'B 2016-2019'!B58</f>
        <v>4 boliger m/base, Kjelsberg ring (rus/psyk.)</v>
      </c>
      <c r="C14" s="69">
        <f>'B 2016-2019'!C58</f>
        <v>39093</v>
      </c>
      <c r="D14" s="50">
        <f>'B 2016-2019'!D58</f>
        <v>23000000</v>
      </c>
      <c r="E14" s="171">
        <v>0</v>
      </c>
      <c r="F14" s="174">
        <v>0</v>
      </c>
      <c r="G14" s="171">
        <f>MAX(ROUND(D14*-0.45,-3),-1575000*4)</f>
        <v>-6300000</v>
      </c>
      <c r="H14" s="173">
        <v>0</v>
      </c>
      <c r="I14" s="146" t="s">
        <v>249</v>
      </c>
    </row>
    <row r="15" spans="1:10" s="51" customFormat="1" ht="15" customHeight="1" x14ac:dyDescent="0.25">
      <c r="A15" s="339"/>
      <c r="B15" s="62" t="str">
        <f>'B 2016-2019'!B55</f>
        <v>Småhus, midlertidige/permanente</v>
      </c>
      <c r="C15" s="69">
        <f>'B 2016-2019'!C55</f>
        <v>39087</v>
      </c>
      <c r="D15" s="50">
        <f>'B 2016-2019'!D55</f>
        <v>21550000</v>
      </c>
      <c r="E15" s="171">
        <f>ROUND(-'B 2016-2019'!F55*0.3,-3)</f>
        <v>-1080000</v>
      </c>
      <c r="F15" s="171">
        <f>ROUND(-'B 2016-2019'!G55*0.3,-3)</f>
        <v>-1080000</v>
      </c>
      <c r="G15" s="171">
        <v>0</v>
      </c>
      <c r="H15" s="171">
        <f>ROUND(-'B 2016-2019'!I55*0.3,-3)</f>
        <v>-1080000</v>
      </c>
      <c r="I15" s="146" t="s">
        <v>250</v>
      </c>
    </row>
    <row r="16" spans="1:10" s="51" customFormat="1" ht="15" customHeight="1" x14ac:dyDescent="0.25">
      <c r="A16" s="339"/>
      <c r="B16" s="62" t="str">
        <f>'B 2016-2019'!B56</f>
        <v>Kommunale utleieboliger (gruppe 1)</v>
      </c>
      <c r="C16" s="69">
        <f>'B 2016-2019'!C56</f>
        <v>39098</v>
      </c>
      <c r="D16" s="50">
        <f>'B 2016-2019'!D56</f>
        <v>21000000</v>
      </c>
      <c r="E16" s="171">
        <v>0</v>
      </c>
      <c r="F16" s="171">
        <v>0</v>
      </c>
      <c r="G16" s="171">
        <f>MAX(ROUND(D16*-0.45,-3),-1575000*6)</f>
        <v>-9450000</v>
      </c>
      <c r="H16" s="171">
        <v>0</v>
      </c>
      <c r="I16" s="146" t="s">
        <v>249</v>
      </c>
    </row>
    <row r="17" spans="1:9" s="51" customFormat="1" ht="15" customHeight="1" x14ac:dyDescent="0.25">
      <c r="A17" s="339"/>
      <c r="B17" s="62" t="str">
        <f>'B 2016-2019'!B57</f>
        <v>Kommunale utleieboliger (gruppe 2)</v>
      </c>
      <c r="C17" s="69">
        <f>'B 2016-2019'!C57</f>
        <v>39099</v>
      </c>
      <c r="D17" s="50">
        <f>'B 2016-2019'!D57</f>
        <v>22500000</v>
      </c>
      <c r="E17" s="171">
        <f>ROUND(-'B 2016-2019'!F57*0.3,-3)</f>
        <v>-1500000</v>
      </c>
      <c r="F17" s="171">
        <f>ROUND(-'B 2016-2019'!G57*0.3,-3)</f>
        <v>-1500000</v>
      </c>
      <c r="G17" s="171">
        <f>ROUND(-'B 2016-2019'!H57*0.3,-3)</f>
        <v>-3750000</v>
      </c>
      <c r="H17" s="171">
        <f>ROUND(-'B 2016-2019'!I57*0.3,-3)</f>
        <v>0</v>
      </c>
      <c r="I17" s="146" t="s">
        <v>250</v>
      </c>
    </row>
    <row r="18" spans="1:9" s="51" customFormat="1" ht="15" customHeight="1" x14ac:dyDescent="0.25">
      <c r="A18" s="339"/>
      <c r="B18" s="62" t="str">
        <f>'B 2016-2019'!B59</f>
        <v>Sola hybelhus</v>
      </c>
      <c r="C18" s="69">
        <f>'B 2016-2019'!C59</f>
        <v>39097</v>
      </c>
      <c r="D18" s="50">
        <f>'B 2016-2019'!D59</f>
        <v>10170000</v>
      </c>
      <c r="E18" s="171">
        <f>-ROUND(D18*0.3,-3)</f>
        <v>-3051000</v>
      </c>
      <c r="F18" s="171">
        <v>0</v>
      </c>
      <c r="G18" s="171">
        <v>0</v>
      </c>
      <c r="H18" s="171">
        <v>0</v>
      </c>
      <c r="I18" s="146" t="s">
        <v>250</v>
      </c>
    </row>
    <row r="19" spans="1:9" s="51" customFormat="1" ht="15" customHeight="1" x14ac:dyDescent="0.25">
      <c r="A19" s="339"/>
      <c r="B19" s="62" t="str">
        <f>'B 2016-2019'!B54</f>
        <v>Myklebust felt CB-6-12-13 (9 komm. leil.)(4 leil.BSHP)</v>
      </c>
      <c r="C19" s="69">
        <f>'B 2016-2019'!C54</f>
        <v>39084</v>
      </c>
      <c r="D19" s="50">
        <f>'B 2016-2019'!D54</f>
        <v>23374000</v>
      </c>
      <c r="E19" s="171">
        <f>-1558000/2*7</f>
        <v>-5453000</v>
      </c>
      <c r="F19" s="171">
        <v>0</v>
      </c>
      <c r="G19" s="171">
        <v>0</v>
      </c>
      <c r="H19" s="171">
        <v>0</v>
      </c>
      <c r="I19" s="146" t="s">
        <v>250</v>
      </c>
    </row>
    <row r="20" spans="1:9" s="51" customFormat="1" ht="15" customHeight="1" x14ac:dyDescent="0.25">
      <c r="A20" s="339"/>
      <c r="B20" s="265"/>
      <c r="C20" s="266"/>
      <c r="D20" s="267"/>
      <c r="E20" s="193"/>
      <c r="F20" s="193"/>
      <c r="G20" s="193"/>
      <c r="H20" s="193"/>
      <c r="I20" s="268"/>
    </row>
    <row r="21" spans="1:9" s="51" customFormat="1" ht="15" customHeight="1" x14ac:dyDescent="0.25">
      <c r="A21" s="339"/>
      <c r="B21" s="265"/>
      <c r="C21" s="266"/>
      <c r="D21" s="267"/>
      <c r="E21" s="193"/>
      <c r="F21" s="193"/>
      <c r="G21" s="193"/>
      <c r="H21" s="193"/>
      <c r="I21" s="268"/>
    </row>
    <row r="22" spans="1:9" s="51" customFormat="1" ht="15" customHeight="1" thickBot="1" x14ac:dyDescent="0.3">
      <c r="A22" s="340"/>
      <c r="B22" s="269"/>
      <c r="C22" s="270"/>
      <c r="D22" s="271"/>
      <c r="E22" s="192"/>
      <c r="F22" s="192"/>
      <c r="G22" s="192"/>
      <c r="H22" s="192"/>
      <c r="I22" s="272"/>
    </row>
    <row r="23" spans="1:9" s="51" customFormat="1" ht="15" customHeight="1" x14ac:dyDescent="0.25">
      <c r="A23" s="329" t="s">
        <v>17</v>
      </c>
      <c r="B23" s="195" t="str">
        <f>'B 2016-2019'!B66</f>
        <v>Ny sjukeheim Sola sentrum</v>
      </c>
      <c r="C23" s="158">
        <f>'B 2016-2019'!C66</f>
        <v>39052</v>
      </c>
      <c r="D23" s="159">
        <f>'B 2016-2019'!D66</f>
        <v>276060000</v>
      </c>
      <c r="E23" s="170">
        <v>0</v>
      </c>
      <c r="F23" s="170">
        <v>0</v>
      </c>
      <c r="G23" s="175">
        <v>0</v>
      </c>
      <c r="H23" s="170">
        <f>MAX(-D23*0.55,-1925000*64)</f>
        <v>-123200000</v>
      </c>
      <c r="I23" s="160" t="s">
        <v>251</v>
      </c>
    </row>
    <row r="24" spans="1:9" s="51" customFormat="1" ht="15" customHeight="1" x14ac:dyDescent="0.25">
      <c r="A24" s="330"/>
      <c r="B24" s="196" t="str">
        <f>'B 2016-2019'!B67</f>
        <v>Erstatning av utleieboliger K/T/B3</v>
      </c>
      <c r="C24" s="69">
        <f>'B 2016-2019'!C67</f>
        <v>39095</v>
      </c>
      <c r="D24" s="50">
        <f>'B 2016-2019'!D67</f>
        <v>12500000</v>
      </c>
      <c r="E24" s="171">
        <v>0</v>
      </c>
      <c r="F24" s="171">
        <v>0</v>
      </c>
      <c r="G24" s="174">
        <v>0</v>
      </c>
      <c r="H24" s="171">
        <f>-ROUND(D24*0.3,-3)</f>
        <v>-3750000</v>
      </c>
      <c r="I24" s="146" t="s">
        <v>250</v>
      </c>
    </row>
    <row r="25" spans="1:9" s="51" customFormat="1" ht="15" customHeight="1" x14ac:dyDescent="0.25">
      <c r="A25" s="330"/>
      <c r="B25" s="196" t="str">
        <f>'B 2016-2019'!B68</f>
        <v>Erstatning av utleieboliger B05</v>
      </c>
      <c r="C25" s="62">
        <f>'B 2016-2019'!C68</f>
        <v>39100</v>
      </c>
      <c r="D25" s="50">
        <f>'B 2016-2019'!D68</f>
        <v>12500000</v>
      </c>
      <c r="E25" s="171">
        <v>0</v>
      </c>
      <c r="F25" s="171">
        <f>-D25*0.3</f>
        <v>-3750000</v>
      </c>
      <c r="G25" s="171">
        <v>0</v>
      </c>
      <c r="H25" s="171">
        <v>0</v>
      </c>
      <c r="I25" s="146" t="s">
        <v>250</v>
      </c>
    </row>
    <row r="26" spans="1:9" s="51" customFormat="1" ht="15" customHeight="1" x14ac:dyDescent="0.25">
      <c r="A26" s="330"/>
      <c r="B26" s="273"/>
      <c r="C26" s="270"/>
      <c r="D26" s="271"/>
      <c r="E26" s="192"/>
      <c r="F26" s="192"/>
      <c r="G26" s="197"/>
      <c r="H26" s="192"/>
      <c r="I26" s="272"/>
    </row>
    <row r="27" spans="1:9" s="51" customFormat="1" ht="15" customHeight="1" x14ac:dyDescent="0.25">
      <c r="A27" s="330"/>
      <c r="B27" s="274"/>
      <c r="C27" s="275"/>
      <c r="D27" s="276"/>
      <c r="E27" s="171"/>
      <c r="F27" s="171"/>
      <c r="G27" s="174"/>
      <c r="H27" s="171"/>
      <c r="I27" s="277"/>
    </row>
    <row r="28" spans="1:9" s="51" customFormat="1" ht="15" customHeight="1" thickBot="1" x14ac:dyDescent="0.3">
      <c r="A28" s="331"/>
      <c r="B28" s="284" t="s">
        <v>292</v>
      </c>
      <c r="C28" s="285"/>
      <c r="D28" s="285"/>
      <c r="E28" s="285"/>
      <c r="F28" s="285"/>
      <c r="G28" s="285"/>
      <c r="H28" s="286">
        <v>-4000000</v>
      </c>
      <c r="I28" s="278"/>
    </row>
    <row r="29" spans="1:9" s="51" customFormat="1" ht="15" customHeight="1" x14ac:dyDescent="0.25">
      <c r="A29" s="52"/>
      <c r="B29"/>
      <c r="C29"/>
      <c r="D29"/>
      <c r="E29" s="40"/>
      <c r="F29" s="40"/>
      <c r="G29"/>
      <c r="H29" s="40"/>
      <c r="I29"/>
    </row>
    <row r="30" spans="1:9" s="51" customFormat="1" ht="15" customHeight="1" x14ac:dyDescent="0.25">
      <c r="A30" s="52"/>
      <c r="B30"/>
      <c r="C30"/>
      <c r="D30"/>
      <c r="E30" s="40"/>
      <c r="F30" s="40"/>
      <c r="G30"/>
      <c r="H30" s="40"/>
      <c r="I30"/>
    </row>
    <row r="31" spans="1:9" s="51" customFormat="1" ht="15" customHeight="1" thickBot="1" x14ac:dyDescent="0.3">
      <c r="A31" s="52"/>
      <c r="B31"/>
      <c r="C31" s="10"/>
      <c r="D31" s="10"/>
      <c r="E31" s="42"/>
      <c r="F31" s="42"/>
      <c r="G31" s="5"/>
      <c r="H31" s="42"/>
      <c r="I31"/>
    </row>
    <row r="32" spans="1:9" ht="15" customHeight="1" x14ac:dyDescent="0.25">
      <c r="B32" s="341" t="s">
        <v>70</v>
      </c>
      <c r="C32" s="342"/>
      <c r="D32" s="343"/>
      <c r="E32" s="164">
        <v>2016</v>
      </c>
      <c r="F32" s="164">
        <v>2017</v>
      </c>
      <c r="G32" s="164">
        <v>2018</v>
      </c>
      <c r="H32" s="164">
        <v>2019</v>
      </c>
      <c r="I32" s="165"/>
    </row>
    <row r="33" spans="1:9" ht="15" customHeight="1" x14ac:dyDescent="0.25">
      <c r="B33" s="335" t="s">
        <v>142</v>
      </c>
      <c r="C33" s="336"/>
      <c r="D33" s="337"/>
      <c r="E33" s="92">
        <f>E12+E15+E17+E18+E19+E24+E25</f>
        <v>-18642000</v>
      </c>
      <c r="F33" s="92">
        <f>F12+F15+F17+F18+F19+F24+F25</f>
        <v>-6330000</v>
      </c>
      <c r="G33" s="92">
        <f>G12+G15+G17+G18+G19+G24+G25</f>
        <v>-3750000</v>
      </c>
      <c r="H33" s="92">
        <f>H12+H15+H17+H18+H19+H24+H25</f>
        <v>-4830000</v>
      </c>
      <c r="I33" s="142"/>
    </row>
    <row r="34" spans="1:9" ht="15" customHeight="1" x14ac:dyDescent="0.25">
      <c r="B34" s="335" t="s">
        <v>76</v>
      </c>
      <c r="C34" s="336"/>
      <c r="D34" s="337"/>
      <c r="E34" s="92">
        <f>E13+E14+E16+E23</f>
        <v>-4359000</v>
      </c>
      <c r="F34" s="92">
        <f>F13+F14+F16+F23</f>
        <v>0</v>
      </c>
      <c r="G34" s="92">
        <f>G13+G14+G16+G23</f>
        <v>-15750000</v>
      </c>
      <c r="H34" s="92">
        <f>H13+H14+H16+H23</f>
        <v>-123200000</v>
      </c>
      <c r="I34" s="142"/>
    </row>
    <row r="35" spans="1:9" ht="15" customHeight="1" x14ac:dyDescent="0.25">
      <c r="B35" s="335" t="s">
        <v>77</v>
      </c>
      <c r="C35" s="336"/>
      <c r="D35" s="337"/>
      <c r="E35" s="92">
        <f t="shared" ref="E35:H36" si="1">E2</f>
        <v>-6000000</v>
      </c>
      <c r="F35" s="92">
        <f t="shared" si="1"/>
        <v>-167000000</v>
      </c>
      <c r="G35" s="92">
        <f t="shared" si="1"/>
        <v>0</v>
      </c>
      <c r="H35" s="92">
        <f t="shared" si="1"/>
        <v>-75000000</v>
      </c>
      <c r="I35" s="142"/>
    </row>
    <row r="36" spans="1:9" ht="15" customHeight="1" x14ac:dyDescent="0.25">
      <c r="B36" s="335" t="s">
        <v>74</v>
      </c>
      <c r="C36" s="336"/>
      <c r="D36" s="337"/>
      <c r="E36" s="288">
        <f t="shared" si="1"/>
        <v>-3500000</v>
      </c>
      <c r="F36" s="288">
        <f t="shared" si="1"/>
        <v>-3500000</v>
      </c>
      <c r="G36" s="92">
        <f t="shared" si="1"/>
        <v>-3500000</v>
      </c>
      <c r="H36" s="92">
        <f t="shared" si="1"/>
        <v>-3500000</v>
      </c>
      <c r="I36" s="143"/>
    </row>
    <row r="37" spans="1:9" ht="15" customHeight="1" x14ac:dyDescent="0.25">
      <c r="B37" s="335" t="s">
        <v>176</v>
      </c>
      <c r="C37" s="336"/>
      <c r="D37" s="337"/>
      <c r="E37" s="92">
        <f>E11</f>
        <v>-6883000</v>
      </c>
      <c r="F37" s="92">
        <f t="shared" ref="F37:H37" si="2">F11</f>
        <v>-6883000</v>
      </c>
      <c r="G37" s="92">
        <f t="shared" si="2"/>
        <v>-6883000</v>
      </c>
      <c r="H37" s="92">
        <f t="shared" si="2"/>
        <v>-6883000</v>
      </c>
      <c r="I37" s="142"/>
    </row>
    <row r="38" spans="1:9" ht="15" customHeight="1" x14ac:dyDescent="0.25">
      <c r="B38" s="335" t="s">
        <v>80</v>
      </c>
      <c r="C38" s="336"/>
      <c r="D38" s="337"/>
      <c r="E38" s="92">
        <f>-E10</f>
        <v>-16961000</v>
      </c>
      <c r="F38" s="92">
        <f>-F10</f>
        <v>-7731000</v>
      </c>
      <c r="G38" s="92">
        <f>-G10</f>
        <v>0</v>
      </c>
      <c r="H38" s="92">
        <f>-H10</f>
        <v>0</v>
      </c>
      <c r="I38" s="142"/>
    </row>
    <row r="39" spans="1:9" ht="15" customHeight="1" x14ac:dyDescent="0.25">
      <c r="B39" s="335" t="s">
        <v>81</v>
      </c>
      <c r="C39" s="336"/>
      <c r="D39" s="337"/>
      <c r="E39" s="141">
        <f>ROUND(-Gjeldsgrad!I33,-5)</f>
        <v>-62200000</v>
      </c>
      <c r="F39" s="141">
        <f>ROUND(-Gjeldsgrad!J33,-5)</f>
        <v>-63200000</v>
      </c>
      <c r="G39" s="141">
        <f>ROUND(-Gjeldsgrad!K33,-5)</f>
        <v>-64000000</v>
      </c>
      <c r="H39" s="141">
        <f>ROUND(-Gjeldsgrad!L33,-5)</f>
        <v>-65600000</v>
      </c>
      <c r="I39" s="142" t="s">
        <v>252</v>
      </c>
    </row>
    <row r="40" spans="1:9" ht="15" customHeight="1" x14ac:dyDescent="0.25">
      <c r="B40" s="335" t="s">
        <v>82</v>
      </c>
      <c r="C40" s="336"/>
      <c r="D40" s="337"/>
      <c r="E40" s="92">
        <v>-8741000</v>
      </c>
      <c r="F40" s="92">
        <v>-8741000</v>
      </c>
      <c r="G40" s="92">
        <v>-8741000</v>
      </c>
      <c r="H40" s="92">
        <v>-8741000</v>
      </c>
      <c r="I40" s="142"/>
    </row>
    <row r="41" spans="1:9" ht="15" customHeight="1" x14ac:dyDescent="0.25">
      <c r="B41" s="335" t="s">
        <v>83</v>
      </c>
      <c r="C41" s="336"/>
      <c r="D41" s="337"/>
      <c r="E41" s="288">
        <f>-'B 2016-2019'!O139</f>
        <v>-29203000</v>
      </c>
      <c r="F41" s="288">
        <f>-'B 2016-2019'!P139</f>
        <v>-54960000</v>
      </c>
      <c r="G41" s="288">
        <f>-'B 2016-2019'!Q139</f>
        <v>-55177000</v>
      </c>
      <c r="H41" s="288">
        <f>-'B 2016-2019'!R139</f>
        <v>-30144000</v>
      </c>
      <c r="I41" s="142" t="s">
        <v>242</v>
      </c>
    </row>
    <row r="42" spans="1:9" s="63" customFormat="1" ht="15" customHeight="1" x14ac:dyDescent="0.25">
      <c r="A42" s="52"/>
      <c r="B42" s="294" t="s">
        <v>293</v>
      </c>
      <c r="C42" s="295"/>
      <c r="D42" s="296"/>
      <c r="E42" s="288">
        <v>0</v>
      </c>
      <c r="F42" s="288">
        <v>0</v>
      </c>
      <c r="G42" s="288">
        <v>0</v>
      </c>
      <c r="H42" s="288">
        <v>-4000000</v>
      </c>
      <c r="I42" s="142"/>
    </row>
    <row r="43" spans="1:9" ht="15" customHeight="1" thickBot="1" x14ac:dyDescent="0.3">
      <c r="B43" s="332" t="s">
        <v>84</v>
      </c>
      <c r="C43" s="333"/>
      <c r="D43" s="334"/>
      <c r="E43" s="144">
        <f>SUM(E33:E42)</f>
        <v>-156489000</v>
      </c>
      <c r="F43" s="144">
        <f t="shared" ref="F43:H43" si="3">SUM(F33:F42)</f>
        <v>-318345000</v>
      </c>
      <c r="G43" s="144">
        <f t="shared" si="3"/>
        <v>-157801000</v>
      </c>
      <c r="H43" s="144">
        <f t="shared" si="3"/>
        <v>-321898000</v>
      </c>
      <c r="I43" s="145"/>
    </row>
    <row r="44" spans="1:9" ht="15" customHeight="1" x14ac:dyDescent="0.25">
      <c r="E44" s="42"/>
      <c r="F44" s="42"/>
      <c r="G44" s="5"/>
      <c r="H44" s="42"/>
    </row>
    <row r="45" spans="1:9" ht="15" customHeight="1" x14ac:dyDescent="0.25">
      <c r="E45" s="42"/>
      <c r="F45" s="42"/>
      <c r="G45" s="35"/>
      <c r="H45" s="42"/>
    </row>
    <row r="46" spans="1:9" ht="15" customHeight="1" x14ac:dyDescent="0.25">
      <c r="E46" s="42"/>
      <c r="F46" s="42"/>
      <c r="G46" s="35"/>
      <c r="H46" s="42"/>
    </row>
    <row r="47" spans="1:9" ht="15" customHeight="1" x14ac:dyDescent="0.25">
      <c r="E47" s="42"/>
      <c r="F47" s="42"/>
      <c r="G47" s="5"/>
      <c r="H47" s="42"/>
    </row>
    <row r="48" spans="1:9" ht="15" customHeight="1" x14ac:dyDescent="0.25">
      <c r="E48" s="42"/>
      <c r="F48" s="42"/>
      <c r="G48" s="5"/>
      <c r="H48" s="42"/>
    </row>
    <row r="49" spans="5:8" ht="15" customHeight="1" x14ac:dyDescent="0.25">
      <c r="E49" s="42"/>
      <c r="F49" s="42"/>
      <c r="G49" s="5"/>
      <c r="H49" s="42"/>
    </row>
    <row r="50" spans="5:8" ht="15" customHeight="1" x14ac:dyDescent="0.25">
      <c r="E50" s="42"/>
      <c r="F50" s="42"/>
      <c r="G50" s="5"/>
      <c r="H50" s="42"/>
    </row>
    <row r="51" spans="5:8" ht="15" customHeight="1" x14ac:dyDescent="0.25">
      <c r="E51" s="42"/>
      <c r="F51" s="42"/>
      <c r="G51" s="5"/>
      <c r="H51" s="42"/>
    </row>
    <row r="52" spans="5:8" ht="15" customHeight="1" x14ac:dyDescent="0.25">
      <c r="E52" s="42"/>
      <c r="F52" s="42"/>
      <c r="G52" s="5"/>
      <c r="H52" s="42"/>
    </row>
    <row r="53" spans="5:8" ht="15" customHeight="1" x14ac:dyDescent="0.25">
      <c r="E53" s="42"/>
      <c r="F53" s="42"/>
      <c r="G53" s="5"/>
      <c r="H53" s="42"/>
    </row>
    <row r="54" spans="5:8" ht="15" customHeight="1" x14ac:dyDescent="0.25">
      <c r="E54" s="42"/>
      <c r="F54" s="42"/>
      <c r="G54" s="5"/>
      <c r="H54" s="42"/>
    </row>
    <row r="55" spans="5:8" ht="15" customHeight="1" x14ac:dyDescent="0.25">
      <c r="E55" s="42"/>
      <c r="F55" s="42"/>
      <c r="G55" s="5"/>
      <c r="H55" s="42"/>
    </row>
    <row r="56" spans="5:8" ht="15" customHeight="1" x14ac:dyDescent="0.25">
      <c r="E56" s="42"/>
      <c r="F56" s="42"/>
      <c r="G56" s="5"/>
      <c r="H56" s="42"/>
    </row>
    <row r="57" spans="5:8" ht="15" customHeight="1" x14ac:dyDescent="0.25">
      <c r="E57" s="42"/>
      <c r="F57" s="42"/>
      <c r="G57" s="5"/>
      <c r="H57" s="42"/>
    </row>
    <row r="58" spans="5:8" ht="15" customHeight="1" x14ac:dyDescent="0.25">
      <c r="E58" s="42"/>
      <c r="F58" s="42"/>
      <c r="G58" s="5"/>
      <c r="H58" s="42"/>
    </row>
    <row r="59" spans="5:8" ht="15" customHeight="1" x14ac:dyDescent="0.25">
      <c r="E59" s="42"/>
      <c r="F59" s="42"/>
      <c r="G59" s="5"/>
      <c r="H59" s="42"/>
    </row>
    <row r="60" spans="5:8" ht="15" customHeight="1" x14ac:dyDescent="0.25">
      <c r="E60" s="42"/>
      <c r="F60" s="42"/>
      <c r="G60" s="5"/>
      <c r="H60" s="42"/>
    </row>
    <row r="61" spans="5:8" ht="15" customHeight="1" x14ac:dyDescent="0.25">
      <c r="E61" s="42"/>
      <c r="F61" s="42"/>
      <c r="G61" s="5"/>
      <c r="H61" s="42"/>
    </row>
    <row r="62" spans="5:8" ht="15" customHeight="1" x14ac:dyDescent="0.25">
      <c r="E62" s="42"/>
      <c r="F62" s="42"/>
      <c r="G62" s="5"/>
      <c r="H62" s="42"/>
    </row>
    <row r="63" spans="5:8" ht="15" customHeight="1" x14ac:dyDescent="0.25">
      <c r="E63" s="42"/>
      <c r="F63" s="42"/>
      <c r="G63" s="5"/>
      <c r="H63" s="42"/>
    </row>
  </sheetData>
  <protectedRanges>
    <protectedRange sqref="B20:I22 B26:I28" name="Område2"/>
    <protectedRange sqref="E2:H28 E39:H39" name="Område1"/>
  </protectedRanges>
  <autoFilter ref="A1:I31"/>
  <mergeCells count="14">
    <mergeCell ref="A4:A10"/>
    <mergeCell ref="A23:A28"/>
    <mergeCell ref="B43:D43"/>
    <mergeCell ref="B41:D41"/>
    <mergeCell ref="B40:D40"/>
    <mergeCell ref="B39:D39"/>
    <mergeCell ref="B38:D38"/>
    <mergeCell ref="B37:D37"/>
    <mergeCell ref="A12:A22"/>
    <mergeCell ref="B36:D36"/>
    <mergeCell ref="B35:D35"/>
    <mergeCell ref="B34:D34"/>
    <mergeCell ref="B33:D33"/>
    <mergeCell ref="B32:D32"/>
  </mergeCells>
  <pageMargins left="0.70866141732283472" right="0.70866141732283472" top="0.78740157480314965" bottom="0.78740157480314965" header="0.31496062992125984" footer="0.31496062992125984"/>
  <pageSetup paperSize="8" scale="73" fitToHeight="4"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S66"/>
  <sheetViews>
    <sheetView workbookViewId="0">
      <pane xSplit="1" ySplit="3" topLeftCell="B22" activePane="bottomRight" state="frozen"/>
      <selection pane="topRight" activeCell="B1" sqref="B1"/>
      <selection pane="bottomLeft" activeCell="A4" sqref="A4"/>
      <selection pane="bottomRight" activeCell="A21" sqref="A21"/>
    </sheetView>
  </sheetViews>
  <sheetFormatPr baseColWidth="10" defaultRowHeight="15" x14ac:dyDescent="0.25"/>
  <cols>
    <col min="1" max="1" width="57.140625" customWidth="1"/>
    <col min="2" max="2" width="14.28515625" bestFit="1" customWidth="1"/>
    <col min="3" max="3" width="15.7109375" bestFit="1" customWidth="1"/>
    <col min="4" max="4" width="14" bestFit="1" customWidth="1"/>
    <col min="5" max="8" width="13.140625" bestFit="1" customWidth="1"/>
    <col min="9" max="9" width="13.28515625" bestFit="1" customWidth="1"/>
    <col min="10" max="10" width="13.28515625" style="40" bestFit="1" customWidth="1"/>
    <col min="11" max="12" width="13.140625" bestFit="1" customWidth="1"/>
    <col min="13" max="13" width="15.7109375" bestFit="1" customWidth="1"/>
    <col min="14" max="14" width="13.140625" bestFit="1" customWidth="1"/>
    <col min="15" max="15" width="13.140625" style="40" bestFit="1" customWidth="1"/>
    <col min="16" max="16" width="10.85546875" style="40"/>
    <col min="17" max="17" width="11.7109375" bestFit="1" customWidth="1"/>
  </cols>
  <sheetData>
    <row r="1" spans="1:16" ht="21" x14ac:dyDescent="0.35">
      <c r="A1" s="14" t="s">
        <v>195</v>
      </c>
      <c r="K1" s="65"/>
      <c r="L1" s="65"/>
      <c r="M1" s="65"/>
      <c r="N1" s="65"/>
      <c r="O1" s="65"/>
    </row>
    <row r="2" spans="1:16" x14ac:dyDescent="0.25">
      <c r="K2" s="65"/>
      <c r="L2" s="65"/>
      <c r="M2" s="65"/>
      <c r="N2" s="65"/>
      <c r="O2" s="65"/>
    </row>
    <row r="3" spans="1:16" s="2" customFormat="1" x14ac:dyDescent="0.25">
      <c r="A3" s="2" t="s">
        <v>86</v>
      </c>
      <c r="B3" s="2" t="s">
        <v>87</v>
      </c>
      <c r="C3" s="2">
        <v>2007</v>
      </c>
      <c r="D3" s="2">
        <v>2008</v>
      </c>
      <c r="E3" s="2">
        <v>2009</v>
      </c>
      <c r="F3" s="2">
        <v>2010</v>
      </c>
      <c r="G3" s="2">
        <v>2011</v>
      </c>
      <c r="H3" s="2">
        <v>2012</v>
      </c>
      <c r="I3" s="2">
        <v>2013</v>
      </c>
      <c r="J3" s="41">
        <v>2014</v>
      </c>
      <c r="K3" s="66">
        <v>2015</v>
      </c>
      <c r="L3" s="66">
        <v>2016</v>
      </c>
      <c r="M3" s="66">
        <v>2017</v>
      </c>
      <c r="N3" s="66">
        <v>2018</v>
      </c>
      <c r="O3" s="66">
        <v>2019</v>
      </c>
      <c r="P3" s="41"/>
    </row>
    <row r="4" spans="1:16" x14ac:dyDescent="0.25">
      <c r="A4" t="s">
        <v>88</v>
      </c>
      <c r="K4" s="177"/>
      <c r="L4" s="178">
        <f>+'Tabell til HØP'!F155</f>
        <v>296097</v>
      </c>
      <c r="M4" s="178">
        <f>+'Tabell til HØP'!G155</f>
        <v>361515</v>
      </c>
      <c r="N4" s="178">
        <f>+'Tabell til HØP'!H155</f>
        <v>352812</v>
      </c>
      <c r="O4" s="178">
        <f>+'Tabell til HØP'!I155</f>
        <v>229225</v>
      </c>
    </row>
    <row r="5" spans="1:16" x14ac:dyDescent="0.25">
      <c r="A5" s="40" t="s">
        <v>204</v>
      </c>
      <c r="K5" s="70"/>
      <c r="L5" s="65"/>
      <c r="M5" s="65"/>
      <c r="N5" s="65"/>
      <c r="O5" s="65"/>
    </row>
    <row r="6" spans="1:16" x14ac:dyDescent="0.25">
      <c r="A6" s="15" t="s">
        <v>89</v>
      </c>
      <c r="K6" s="70"/>
      <c r="L6" s="65"/>
      <c r="M6" s="65"/>
      <c r="N6" s="65"/>
      <c r="O6" s="65"/>
    </row>
    <row r="7" spans="1:16" x14ac:dyDescent="0.25">
      <c r="A7" s="15" t="s">
        <v>90</v>
      </c>
      <c r="K7" s="70"/>
      <c r="L7" s="65"/>
      <c r="M7" s="65"/>
      <c r="N7" s="65"/>
      <c r="O7" s="65"/>
    </row>
    <row r="8" spans="1:16" x14ac:dyDescent="0.25">
      <c r="A8" t="s">
        <v>91</v>
      </c>
      <c r="K8" s="70"/>
      <c r="L8" s="65"/>
      <c r="M8" s="65"/>
      <c r="N8" s="65"/>
      <c r="O8" s="65"/>
    </row>
    <row r="9" spans="1:16" x14ac:dyDescent="0.25">
      <c r="K9" s="70"/>
      <c r="L9" s="65"/>
      <c r="M9" s="65"/>
      <c r="N9" s="65"/>
      <c r="O9" s="65"/>
    </row>
    <row r="10" spans="1:16" x14ac:dyDescent="0.25">
      <c r="A10" s="2" t="s">
        <v>92</v>
      </c>
      <c r="K10" s="177"/>
      <c r="L10" s="178">
        <f>+L4*1000</f>
        <v>296097000</v>
      </c>
      <c r="M10" s="178">
        <f>+M4*1000</f>
        <v>361515000</v>
      </c>
      <c r="N10" s="178">
        <f>+N4*1000</f>
        <v>352812000</v>
      </c>
      <c r="O10" s="178">
        <f>+O4*1000</f>
        <v>229225000</v>
      </c>
      <c r="P10" s="11"/>
    </row>
    <row r="11" spans="1:16" s="11" customFormat="1" x14ac:dyDescent="0.25">
      <c r="A11" s="16" t="s">
        <v>93</v>
      </c>
      <c r="K11" s="177"/>
      <c r="L11" s="78"/>
      <c r="M11" s="78"/>
      <c r="N11" s="78"/>
      <c r="O11" s="78"/>
      <c r="P11" s="40"/>
    </row>
    <row r="12" spans="1:16" x14ac:dyDescent="0.25">
      <c r="A12" s="65" t="s">
        <v>75</v>
      </c>
      <c r="K12" s="177"/>
      <c r="L12" s="178">
        <f>+'Inntekter 2016-2019'!E33</f>
        <v>-18642000</v>
      </c>
      <c r="M12" s="178">
        <f>+'Inntekter 2016-2019'!F33</f>
        <v>-6330000</v>
      </c>
      <c r="N12" s="178">
        <f>+'Inntekter 2016-2019'!G33</f>
        <v>-3750000</v>
      </c>
      <c r="O12" s="178">
        <f>+'Inntekter 2016-2019'!H33</f>
        <v>-4830000</v>
      </c>
    </row>
    <row r="13" spans="1:16" x14ac:dyDescent="0.25">
      <c r="A13" s="65" t="s">
        <v>76</v>
      </c>
      <c r="K13" s="177"/>
      <c r="L13" s="178">
        <f>+'Inntekter 2016-2019'!E34</f>
        <v>-4359000</v>
      </c>
      <c r="M13" s="178">
        <f>+'Inntekter 2016-2019'!F34</f>
        <v>0</v>
      </c>
      <c r="N13" s="178">
        <f>+'Inntekter 2016-2019'!G34</f>
        <v>-15750000</v>
      </c>
      <c r="O13" s="178">
        <f>+'Inntekter 2016-2019'!H34</f>
        <v>-123200000</v>
      </c>
    </row>
    <row r="14" spans="1:16" x14ac:dyDescent="0.25">
      <c r="A14" s="65" t="s">
        <v>77</v>
      </c>
      <c r="K14" s="177"/>
      <c r="L14" s="178">
        <f>+'Inntekter 2016-2019'!E35</f>
        <v>-6000000</v>
      </c>
      <c r="M14" s="178">
        <f>+'Inntekter 2016-2019'!F35</f>
        <v>-167000000</v>
      </c>
      <c r="N14" s="178">
        <f>+'Inntekter 2016-2019'!G35</f>
        <v>0</v>
      </c>
      <c r="O14" s="178">
        <f>+'Inntekter 2016-2019'!H35</f>
        <v>-75000000</v>
      </c>
    </row>
    <row r="15" spans="1:16" x14ac:dyDescent="0.25">
      <c r="A15" s="65" t="s">
        <v>78</v>
      </c>
      <c r="K15" s="177"/>
      <c r="L15" s="178">
        <f>+'Inntekter 2016-2019'!E36</f>
        <v>-3500000</v>
      </c>
      <c r="M15" s="178">
        <f>+'Inntekter 2016-2019'!F36</f>
        <v>-3500000</v>
      </c>
      <c r="N15" s="178">
        <f>+'Inntekter 2016-2019'!G36</f>
        <v>-3500000</v>
      </c>
      <c r="O15" s="178">
        <f>+'Inntekter 2016-2019'!H36</f>
        <v>-3500000</v>
      </c>
    </row>
    <row r="16" spans="1:16" x14ac:dyDescent="0.25">
      <c r="A16" s="65" t="s">
        <v>79</v>
      </c>
      <c r="K16" s="177"/>
      <c r="L16" s="178">
        <f>+'Inntekter 2016-2019'!E37</f>
        <v>-6883000</v>
      </c>
      <c r="M16" s="178">
        <f>+'Inntekter 2016-2019'!F37</f>
        <v>-6883000</v>
      </c>
      <c r="N16" s="178">
        <f>+'Inntekter 2016-2019'!G37</f>
        <v>-6883000</v>
      </c>
      <c r="O16" s="178">
        <f>+'Inntekter 2016-2019'!H37</f>
        <v>-6883000</v>
      </c>
    </row>
    <row r="17" spans="1:16" x14ac:dyDescent="0.25">
      <c r="A17" s="65" t="s">
        <v>80</v>
      </c>
      <c r="K17" s="177"/>
      <c r="L17" s="178">
        <f>+'Inntekter 2016-2019'!E38</f>
        <v>-16961000</v>
      </c>
      <c r="M17" s="178">
        <f>+'Inntekter 2016-2019'!F38</f>
        <v>-7731000</v>
      </c>
      <c r="N17" s="178">
        <f>+'Inntekter 2016-2019'!G38</f>
        <v>0</v>
      </c>
      <c r="O17" s="178">
        <f>+'Inntekter 2016-2019'!H38</f>
        <v>0</v>
      </c>
    </row>
    <row r="18" spans="1:16" x14ac:dyDescent="0.25">
      <c r="A18" s="65" t="s">
        <v>81</v>
      </c>
      <c r="I18" s="8"/>
      <c r="J18" s="8"/>
      <c r="K18" s="177"/>
      <c r="L18" s="178">
        <f>+'Inntekter 2016-2019'!E39</f>
        <v>-62200000</v>
      </c>
      <c r="M18" s="178">
        <f>+'Inntekter 2016-2019'!F39</f>
        <v>-63200000</v>
      </c>
      <c r="N18" s="178">
        <f>+'Inntekter 2016-2019'!G39</f>
        <v>-64000000</v>
      </c>
      <c r="O18" s="178">
        <f>+'Inntekter 2016-2019'!H39</f>
        <v>-65600000</v>
      </c>
    </row>
    <row r="19" spans="1:16" x14ac:dyDescent="0.25">
      <c r="A19" s="65" t="s">
        <v>82</v>
      </c>
      <c r="I19" s="8"/>
      <c r="J19" s="8"/>
      <c r="K19" s="177"/>
      <c r="L19" s="178">
        <f>+'Inntekter 2016-2019'!E40</f>
        <v>-8741000</v>
      </c>
      <c r="M19" s="178">
        <f>+'Inntekter 2016-2019'!F40</f>
        <v>-8741000</v>
      </c>
      <c r="N19" s="178">
        <f>+'Inntekter 2016-2019'!G40</f>
        <v>-8741000</v>
      </c>
      <c r="O19" s="178">
        <f>+'Inntekter 2016-2019'!H40</f>
        <v>-8741000</v>
      </c>
    </row>
    <row r="20" spans="1:16" x14ac:dyDescent="0.25">
      <c r="A20" s="65" t="s">
        <v>83</v>
      </c>
      <c r="B20" s="5"/>
      <c r="C20" s="5"/>
      <c r="D20" s="5"/>
      <c r="E20" s="5"/>
      <c r="F20" s="5"/>
      <c r="G20" s="5"/>
      <c r="H20" s="5"/>
      <c r="I20" s="5"/>
      <c r="J20" s="42"/>
      <c r="K20" s="177"/>
      <c r="L20" s="178">
        <f>+'Inntekter 2016-2019'!E41</f>
        <v>-29203000</v>
      </c>
      <c r="M20" s="178">
        <f>+'Inntekter 2016-2019'!F41</f>
        <v>-54960000</v>
      </c>
      <c r="N20" s="178">
        <f>+'Inntekter 2016-2019'!G41</f>
        <v>-55177000</v>
      </c>
      <c r="O20" s="178">
        <f>+'Inntekter 2016-2019'!H41</f>
        <v>-30144000</v>
      </c>
    </row>
    <row r="21" spans="1:16" s="63" customFormat="1" x14ac:dyDescent="0.25">
      <c r="A21" s="297" t="s">
        <v>293</v>
      </c>
      <c r="B21" s="298"/>
      <c r="C21" s="298"/>
      <c r="D21" s="298"/>
      <c r="E21" s="298"/>
      <c r="F21" s="298"/>
      <c r="G21" s="298"/>
      <c r="H21" s="298"/>
      <c r="I21" s="298"/>
      <c r="J21" s="298"/>
      <c r="K21" s="299"/>
      <c r="L21" s="299">
        <v>0</v>
      </c>
      <c r="M21" s="299">
        <v>0</v>
      </c>
      <c r="N21" s="299">
        <v>0</v>
      </c>
      <c r="O21" s="299">
        <v>-4000000</v>
      </c>
    </row>
    <row r="22" spans="1:16" x14ac:dyDescent="0.25">
      <c r="A22" s="65" t="s">
        <v>202</v>
      </c>
      <c r="B22" s="5"/>
      <c r="C22" s="5"/>
      <c r="D22" s="18">
        <v>87164000</v>
      </c>
      <c r="E22" s="18">
        <v>114206000</v>
      </c>
      <c r="F22" s="18">
        <v>268521000</v>
      </c>
      <c r="G22" s="18">
        <v>247001000</v>
      </c>
      <c r="H22" s="18">
        <v>200375000</v>
      </c>
      <c r="I22" s="18">
        <v>187897000</v>
      </c>
      <c r="J22" s="18">
        <v>210000000</v>
      </c>
      <c r="K22" s="78">
        <v>59765000</v>
      </c>
      <c r="L22" s="78">
        <f>SUM(L10:L21)</f>
        <v>139608000</v>
      </c>
      <c r="M22" s="78">
        <f t="shared" ref="M22:O22" si="0">SUM(M10:M21)</f>
        <v>43170000</v>
      </c>
      <c r="N22" s="78">
        <f t="shared" si="0"/>
        <v>195011000</v>
      </c>
      <c r="O22" s="78">
        <f t="shared" si="0"/>
        <v>-92673000</v>
      </c>
    </row>
    <row r="23" spans="1:16" s="40" customFormat="1" x14ac:dyDescent="0.25">
      <c r="A23" s="65" t="s">
        <v>196</v>
      </c>
      <c r="B23" s="42"/>
      <c r="C23" s="42"/>
      <c r="D23" s="18"/>
      <c r="E23" s="18"/>
      <c r="F23" s="18"/>
      <c r="G23" s="18"/>
      <c r="H23" s="18"/>
      <c r="I23" s="18"/>
      <c r="J23" s="18"/>
      <c r="K23" s="78">
        <v>-35557000</v>
      </c>
      <c r="L23" s="78"/>
      <c r="M23" s="78"/>
      <c r="N23" s="78"/>
      <c r="O23" s="78"/>
    </row>
    <row r="24" spans="1:16" x14ac:dyDescent="0.25">
      <c r="A24" s="65" t="s">
        <v>94</v>
      </c>
      <c r="B24" s="5"/>
      <c r="C24" s="5"/>
      <c r="D24" s="18">
        <v>-13874000</v>
      </c>
      <c r="E24" s="18">
        <v>63139000</v>
      </c>
      <c r="F24" s="18">
        <v>36850000</v>
      </c>
      <c r="G24" s="18">
        <f>3500000+700000+400000-320000</f>
        <v>4280000</v>
      </c>
      <c r="H24" s="18">
        <v>-5000</v>
      </c>
      <c r="I24" s="18">
        <v>374000</v>
      </c>
      <c r="J24" s="18">
        <v>22282000</v>
      </c>
      <c r="K24" s="78">
        <v>-54462000</v>
      </c>
      <c r="L24" s="78"/>
      <c r="M24" s="78"/>
      <c r="N24" s="78"/>
      <c r="O24" s="78"/>
    </row>
    <row r="25" spans="1:16" x14ac:dyDescent="0.25">
      <c r="A25" s="65" t="s">
        <v>95</v>
      </c>
      <c r="B25" s="5"/>
      <c r="C25" s="5"/>
      <c r="D25" s="18"/>
      <c r="E25" s="18"/>
      <c r="F25" s="18"/>
      <c r="G25" s="18"/>
      <c r="H25" s="18">
        <v>5861000</v>
      </c>
      <c r="I25" s="18">
        <v>-46200000</v>
      </c>
      <c r="J25" s="18">
        <v>-30752000</v>
      </c>
      <c r="K25" s="78">
        <f>128588000-7405000</f>
        <v>121183000</v>
      </c>
      <c r="L25" s="78"/>
      <c r="M25" s="78"/>
      <c r="N25" s="78"/>
      <c r="O25" s="78"/>
    </row>
    <row r="26" spans="1:16" x14ac:dyDescent="0.25">
      <c r="A26" s="65" t="s">
        <v>96</v>
      </c>
      <c r="B26" s="5"/>
      <c r="C26" s="5"/>
      <c r="D26" s="18"/>
      <c r="E26" s="18"/>
      <c r="F26" s="18"/>
      <c r="G26" s="18"/>
      <c r="H26" s="18">
        <v>-228650000</v>
      </c>
      <c r="I26" s="18">
        <v>8576000</v>
      </c>
      <c r="J26" s="18"/>
      <c r="K26" s="78"/>
      <c r="L26" s="78"/>
      <c r="M26" s="78"/>
      <c r="N26" s="78"/>
      <c r="O26" s="78"/>
    </row>
    <row r="27" spans="1:16" x14ac:dyDescent="0.25">
      <c r="A27" s="65" t="s">
        <v>97</v>
      </c>
      <c r="B27" s="5"/>
      <c r="C27" s="5"/>
      <c r="D27" s="21">
        <v>0</v>
      </c>
      <c r="E27" s="18">
        <v>-51200000</v>
      </c>
      <c r="F27" s="18">
        <v>-177000000</v>
      </c>
      <c r="G27" s="18">
        <v>-60000000</v>
      </c>
      <c r="H27" s="22"/>
      <c r="I27" s="22"/>
      <c r="J27" s="22"/>
      <c r="K27" s="179"/>
      <c r="L27" s="179"/>
      <c r="M27" s="179"/>
      <c r="N27" s="179"/>
      <c r="O27" s="179"/>
    </row>
    <row r="28" spans="1:16" x14ac:dyDescent="0.25">
      <c r="A28" s="65" t="s">
        <v>98</v>
      </c>
      <c r="B28" s="5"/>
      <c r="C28" s="5"/>
      <c r="D28" s="21">
        <v>0</v>
      </c>
      <c r="E28" s="18">
        <v>38000000</v>
      </c>
      <c r="F28" s="18">
        <v>51435000</v>
      </c>
      <c r="G28" s="18">
        <v>36850000</v>
      </c>
      <c r="H28" s="18"/>
      <c r="I28" s="18">
        <v>-18139000</v>
      </c>
      <c r="J28" s="18"/>
      <c r="K28" s="78"/>
      <c r="L28" s="78"/>
      <c r="M28" s="78"/>
      <c r="N28" s="78"/>
      <c r="O28" s="78"/>
    </row>
    <row r="29" spans="1:16" x14ac:dyDescent="0.25">
      <c r="A29" s="65" t="s">
        <v>99</v>
      </c>
      <c r="B29" s="5"/>
      <c r="C29" s="5"/>
      <c r="D29" s="18">
        <v>-38290000</v>
      </c>
      <c r="E29" s="18">
        <v>-51145000</v>
      </c>
      <c r="F29" s="18">
        <v>-36850000</v>
      </c>
      <c r="G29" s="18">
        <v>-4280000</v>
      </c>
      <c r="H29" s="18"/>
      <c r="I29" s="18"/>
      <c r="J29" s="18"/>
      <c r="K29" s="78"/>
      <c r="L29" s="78"/>
      <c r="M29" s="78"/>
      <c r="N29" s="78"/>
      <c r="O29" s="78"/>
    </row>
    <row r="30" spans="1:16" x14ac:dyDescent="0.25">
      <c r="A30" s="186" t="s">
        <v>100</v>
      </c>
      <c r="B30" s="9"/>
      <c r="C30" s="19">
        <v>53599000</v>
      </c>
      <c r="D30" s="19">
        <f>SUM(D22:D29)</f>
        <v>35000000</v>
      </c>
      <c r="E30" s="19">
        <f>SUM(E22:E29)</f>
        <v>113000000</v>
      </c>
      <c r="F30" s="19">
        <f>SUM(F22:F29)</f>
        <v>142956000</v>
      </c>
      <c r="G30" s="19">
        <f t="shared" ref="G30:J30" si="1">SUM(G22:G29)</f>
        <v>223851000</v>
      </c>
      <c r="H30" s="19" t="s">
        <v>115</v>
      </c>
      <c r="I30" s="19">
        <f t="shared" si="1"/>
        <v>132508000</v>
      </c>
      <c r="J30" s="19">
        <f t="shared" si="1"/>
        <v>201530000</v>
      </c>
      <c r="K30" s="180">
        <f>IF((K22+K23+K24+K25+K26)&gt;0,(K22+K23+K24+K25+K26),0)</f>
        <v>90929000</v>
      </c>
      <c r="L30" s="180">
        <f>IF((L22+L23+L24+L25+L26)&gt;0,(L22+L23+L24+L25+L26),0)</f>
        <v>139608000</v>
      </c>
      <c r="M30" s="180">
        <f t="shared" ref="M30:O30" si="2">IF((M22+M23+M24+M25+M26)&gt;0,(M22+M23+M24+M25+M26),0)</f>
        <v>43170000</v>
      </c>
      <c r="N30" s="180">
        <f t="shared" si="2"/>
        <v>195011000</v>
      </c>
      <c r="O30" s="180">
        <f t="shared" si="2"/>
        <v>0</v>
      </c>
      <c r="P30" s="40" t="s">
        <v>197</v>
      </c>
    </row>
    <row r="31" spans="1:16" s="2" customFormat="1" x14ac:dyDescent="0.25">
      <c r="A31" s="66" t="s">
        <v>101</v>
      </c>
      <c r="C31" s="20">
        <v>-20000000</v>
      </c>
      <c r="D31" s="20">
        <v>-20700000</v>
      </c>
      <c r="E31" s="20">
        <v>-20600000</v>
      </c>
      <c r="F31" s="20">
        <v>-24800000</v>
      </c>
      <c r="G31" s="20">
        <v>-29849000</v>
      </c>
      <c r="H31" s="20">
        <v>-37600000</v>
      </c>
      <c r="I31" s="20">
        <f t="shared" ref="I31:J31" si="3">-+I43</f>
        <v>-35300000</v>
      </c>
      <c r="J31" s="20">
        <f t="shared" si="3"/>
        <v>-37800000</v>
      </c>
      <c r="K31" s="77">
        <f>-K43</f>
        <v>-43700000</v>
      </c>
      <c r="L31" s="77">
        <f>-L43</f>
        <v>-44200000</v>
      </c>
      <c r="M31" s="77">
        <f t="shared" ref="M31:O31" si="4">-M43</f>
        <v>-47200000</v>
      </c>
      <c r="N31" s="77">
        <f t="shared" si="4"/>
        <v>-44700000</v>
      </c>
      <c r="O31" s="77">
        <f t="shared" si="4"/>
        <v>-48900000</v>
      </c>
      <c r="P31" s="41"/>
    </row>
    <row r="32" spans="1:16" s="65" customFormat="1" x14ac:dyDescent="0.25">
      <c r="A32" s="66" t="s">
        <v>137</v>
      </c>
      <c r="C32" s="77"/>
      <c r="D32" s="77"/>
      <c r="E32" s="78"/>
      <c r="F32" s="78"/>
      <c r="G32" s="78"/>
      <c r="H32" s="78"/>
      <c r="I32" s="78"/>
      <c r="J32" s="78"/>
      <c r="K32" s="79">
        <f>IF((K22+K23+K24+K25+K26)&gt;0,0,(K22+K23+K24+K25+K26))</f>
        <v>0</v>
      </c>
      <c r="L32" s="176">
        <f>IF((L22+L23+L24+L25+L26)&gt;0,0,(L22+L23+L24+L25+L26))</f>
        <v>0</v>
      </c>
      <c r="M32" s="176">
        <f t="shared" ref="M32:O32" si="5">IF((M22+M23+M24+M25+M26)&gt;0,0,(M22+M23+M24+M25+M26))</f>
        <v>0</v>
      </c>
      <c r="N32" s="176">
        <f t="shared" si="5"/>
        <v>0</v>
      </c>
      <c r="O32" s="176">
        <f t="shared" si="5"/>
        <v>-92673000</v>
      </c>
    </row>
    <row r="33" spans="1:19" s="75" customFormat="1" x14ac:dyDescent="0.25">
      <c r="A33" s="66" t="s">
        <v>138</v>
      </c>
      <c r="C33" s="78">
        <v>-5000000</v>
      </c>
      <c r="D33" s="78">
        <v>-20000000</v>
      </c>
      <c r="E33" s="78">
        <v>-10000000</v>
      </c>
      <c r="F33" s="78">
        <v>-5000000</v>
      </c>
      <c r="G33" s="181">
        <v>0</v>
      </c>
      <c r="H33" s="181">
        <v>0</v>
      </c>
      <c r="I33" s="78">
        <v>-30871000</v>
      </c>
      <c r="J33" s="78">
        <f>-3600000-600000</f>
        <v>-4200000</v>
      </c>
      <c r="K33" s="182">
        <v>-4622000</v>
      </c>
      <c r="L33" s="237">
        <v>-20513000</v>
      </c>
      <c r="M33" s="238">
        <v>-21685000</v>
      </c>
      <c r="N33" s="238">
        <v>-48185000</v>
      </c>
      <c r="O33" s="238">
        <v>-61085000</v>
      </c>
    </row>
    <row r="34" spans="1:19" x14ac:dyDescent="0.25">
      <c r="A34" s="66" t="s">
        <v>139</v>
      </c>
      <c r="C34" s="18"/>
      <c r="D34" s="18"/>
      <c r="E34" s="18"/>
      <c r="F34" s="18"/>
      <c r="G34" s="21"/>
      <c r="H34" s="21"/>
      <c r="I34" s="18"/>
      <c r="J34" s="18">
        <v>-3381000</v>
      </c>
      <c r="K34" s="6"/>
      <c r="L34" s="35"/>
      <c r="M34" s="35"/>
      <c r="N34" s="29"/>
      <c r="O34" s="29"/>
    </row>
    <row r="35" spans="1:19" x14ac:dyDescent="0.25">
      <c r="A35" s="11" t="s">
        <v>102</v>
      </c>
      <c r="B35" s="18">
        <v>627559294</v>
      </c>
      <c r="C35" s="18">
        <f>SUM(B35,C30:C33)</f>
        <v>656158294</v>
      </c>
      <c r="D35" s="18">
        <f>SUM(C35,D30:D33)</f>
        <v>650458294</v>
      </c>
      <c r="E35" s="18">
        <f>SUM(D35,E30:E33)</f>
        <v>732858294</v>
      </c>
      <c r="F35" s="18">
        <f>SUM(E35,F30:F33)</f>
        <v>846014294</v>
      </c>
      <c r="G35" s="18">
        <f t="shared" ref="G35" si="6">SUM(F35,G30:G33)</f>
        <v>1040016294</v>
      </c>
      <c r="H35" s="18">
        <f>1060098000+5483000-63200000</f>
        <v>1002381000</v>
      </c>
      <c r="I35" s="27">
        <f>SUM(H35,I30:I33)+1159000</f>
        <v>1069877000</v>
      </c>
      <c r="J35" s="27">
        <f>SUM(I35,J30:J34)+235466</f>
        <v>1226261466</v>
      </c>
      <c r="K35" s="27">
        <f t="shared" ref="K35:N35" si="7">SUM(J35,K30:K34)</f>
        <v>1268868466</v>
      </c>
      <c r="L35" s="27">
        <f>SUM(K35,L30:L34)</f>
        <v>1343763466</v>
      </c>
      <c r="M35" s="27">
        <f t="shared" si="7"/>
        <v>1318048466</v>
      </c>
      <c r="N35" s="27">
        <f t="shared" si="7"/>
        <v>1420174466</v>
      </c>
      <c r="O35" s="27">
        <f>SUM(N35,O30:O34)</f>
        <v>1217516466</v>
      </c>
    </row>
    <row r="36" spans="1:19" x14ac:dyDescent="0.25">
      <c r="I36" s="17"/>
      <c r="J36" s="17"/>
      <c r="K36" s="23"/>
      <c r="L36" s="23"/>
      <c r="M36" s="23"/>
      <c r="N36" s="23"/>
      <c r="O36" s="23"/>
      <c r="P36" s="23"/>
      <c r="S36" s="40"/>
    </row>
    <row r="37" spans="1:19" x14ac:dyDescent="0.25">
      <c r="I37" s="17"/>
      <c r="J37" s="17"/>
    </row>
    <row r="38" spans="1:19" x14ac:dyDescent="0.25">
      <c r="A38" t="s">
        <v>103</v>
      </c>
      <c r="E38" s="5"/>
      <c r="F38" s="5"/>
      <c r="G38" s="5"/>
      <c r="H38" s="25">
        <f t="shared" ref="H38:N38" si="8">+G35/G39</f>
        <v>0.60437799797299441</v>
      </c>
      <c r="I38" s="34">
        <f t="shared" si="8"/>
        <v>0.5312211776807747</v>
      </c>
      <c r="J38" s="34">
        <f t="shared" si="8"/>
        <v>0.52749285760844955</v>
      </c>
      <c r="K38" s="25">
        <f t="shared" si="8"/>
        <v>0.57311962918492987</v>
      </c>
      <c r="L38" s="25">
        <f>+K35/K39</f>
        <v>0.54967522994971307</v>
      </c>
      <c r="M38" s="25">
        <f t="shared" si="8"/>
        <v>0.54459742554397583</v>
      </c>
      <c r="N38" s="25">
        <f t="shared" si="8"/>
        <v>0.48219956434746969</v>
      </c>
      <c r="O38" s="25">
        <f>+N35/N39</f>
        <v>0.47611795241077753</v>
      </c>
    </row>
    <row r="39" spans="1:19" x14ac:dyDescent="0.25">
      <c r="A39" t="s">
        <v>104</v>
      </c>
      <c r="C39" s="18">
        <v>1337562212</v>
      </c>
      <c r="D39" s="18">
        <v>1473109050</v>
      </c>
      <c r="E39" s="18">
        <v>1595870354</v>
      </c>
      <c r="F39" s="18">
        <v>1620658788</v>
      </c>
      <c r="G39" s="18">
        <v>1720804360</v>
      </c>
      <c r="H39" s="18">
        <v>1886937197</v>
      </c>
      <c r="I39" s="36">
        <f>2310536770-29721547-12146365-163687443-76751109</f>
        <v>2028230306</v>
      </c>
      <c r="J39" s="36">
        <v>2139625662</v>
      </c>
      <c r="K39" s="29">
        <v>2308396662</v>
      </c>
      <c r="L39" s="29">
        <f>K39+('Tabell til HØP'!F155*1000)-('Tabell til HØP'!F43*1000)-Låneutgifter!L42</f>
        <v>2467443662</v>
      </c>
      <c r="M39" s="29">
        <f>L39+('Tabell til HØP'!G155*1000)-('Tabell til HØP'!G43*1000)-Låneutgifter!M42</f>
        <v>2733408662</v>
      </c>
      <c r="N39" s="29">
        <f>M39+('Tabell til HØP'!H155*1000)-('Tabell til HØP'!H43*1000)-Låneutgifter!N42</f>
        <v>2982820662</v>
      </c>
      <c r="O39" s="29">
        <f>N39+('Tabell til HØP'!I155*1000)-('Tabell til HØP'!I43*1000)-Låneutgifter!O42</f>
        <v>3087935662</v>
      </c>
      <c r="P39" s="11"/>
    </row>
    <row r="40" spans="1:19" x14ac:dyDescent="0.25">
      <c r="A40" s="65"/>
      <c r="C40" s="18"/>
      <c r="D40" s="18"/>
      <c r="E40" s="18"/>
      <c r="F40" s="18"/>
      <c r="G40" s="18"/>
      <c r="H40" s="18"/>
      <c r="I40" s="36"/>
      <c r="J40" s="36"/>
      <c r="K40" s="43"/>
      <c r="L40" s="43"/>
      <c r="M40" s="43"/>
      <c r="N40" s="43"/>
      <c r="O40" s="43"/>
      <c r="Q40" s="23"/>
    </row>
    <row r="41" spans="1:19" x14ac:dyDescent="0.25">
      <c r="A41" s="65"/>
      <c r="C41" s="18"/>
      <c r="D41" s="18"/>
      <c r="E41" s="18"/>
      <c r="F41" s="18"/>
      <c r="G41" s="18"/>
      <c r="H41" s="18"/>
      <c r="I41" s="36"/>
      <c r="J41" s="36"/>
      <c r="K41" s="43"/>
      <c r="L41" s="43"/>
      <c r="M41" s="43"/>
      <c r="N41" s="43"/>
      <c r="O41" s="43"/>
    </row>
    <row r="42" spans="1:19" x14ac:dyDescent="0.25">
      <c r="A42" s="65" t="s">
        <v>105</v>
      </c>
      <c r="C42" s="18">
        <v>46990816</v>
      </c>
      <c r="D42" s="18">
        <v>47839695</v>
      </c>
      <c r="E42" s="18">
        <v>52570965</v>
      </c>
      <c r="F42" s="18">
        <v>57180595</v>
      </c>
      <c r="G42" s="18">
        <v>62271511</v>
      </c>
      <c r="H42" s="18">
        <v>66477000</v>
      </c>
      <c r="I42" s="18">
        <v>71733000</v>
      </c>
      <c r="J42" s="18">
        <v>76248000</v>
      </c>
      <c r="K42" s="35">
        <f t="shared" ref="K42:N42" si="9">ROUND(J42*J39/I39,-5)</f>
        <v>80400000</v>
      </c>
      <c r="L42" s="35">
        <f t="shared" si="9"/>
        <v>86700000</v>
      </c>
      <c r="M42" s="35">
        <f t="shared" si="9"/>
        <v>92700000</v>
      </c>
      <c r="N42" s="35">
        <f t="shared" si="9"/>
        <v>102700000</v>
      </c>
      <c r="O42" s="42">
        <f>ROUND(N42*N39/M39,-5)</f>
        <v>112100000</v>
      </c>
    </row>
    <row r="43" spans="1:19" x14ac:dyDescent="0.25">
      <c r="A43" s="70" t="s">
        <v>106</v>
      </c>
      <c r="B43" s="73"/>
      <c r="C43" s="177"/>
      <c r="D43" s="177">
        <f>C42*C35/C39</f>
        <v>23051947.328957513</v>
      </c>
      <c r="E43" s="177">
        <f>D42*D35/D39</f>
        <v>21123844.426303897</v>
      </c>
      <c r="F43" s="177">
        <f>E42*E35/E39</f>
        <v>24141727.820976686</v>
      </c>
      <c r="G43" s="177">
        <f>F42*F35/F39</f>
        <v>29849343.407518625</v>
      </c>
      <c r="H43" s="177">
        <f>ROUND(G42*G35/G39,-5)</f>
        <v>37600000</v>
      </c>
      <c r="I43" s="177">
        <f t="shared" ref="I43:N43" si="10">ROUND(H42*H35/H39,-5)</f>
        <v>35300000</v>
      </c>
      <c r="J43" s="177">
        <f t="shared" si="10"/>
        <v>37800000</v>
      </c>
      <c r="K43" s="177">
        <f t="shared" si="10"/>
        <v>43700000</v>
      </c>
      <c r="L43" s="177">
        <f t="shared" si="10"/>
        <v>44200000</v>
      </c>
      <c r="M43" s="177">
        <f t="shared" si="10"/>
        <v>47200000</v>
      </c>
      <c r="N43" s="177">
        <f t="shared" si="10"/>
        <v>44700000</v>
      </c>
      <c r="O43" s="177">
        <f>ROUND(N42*N35/N39,-5)</f>
        <v>48900000</v>
      </c>
    </row>
    <row r="44" spans="1:19" x14ac:dyDescent="0.25">
      <c r="A44" s="70"/>
      <c r="B44" s="73"/>
      <c r="C44" s="70"/>
      <c r="D44" s="70"/>
      <c r="E44" s="70"/>
      <c r="F44" s="70"/>
      <c r="G44" s="70"/>
      <c r="H44" s="70"/>
      <c r="I44" s="70"/>
      <c r="J44" s="70"/>
      <c r="K44" s="70"/>
      <c r="L44" s="70"/>
      <c r="M44" s="70"/>
      <c r="N44" s="70"/>
      <c r="O44" s="70"/>
    </row>
    <row r="45" spans="1:19" x14ac:dyDescent="0.25">
      <c r="A45" s="65" t="s">
        <v>107</v>
      </c>
      <c r="C45" s="65"/>
      <c r="D45" s="65"/>
      <c r="E45" s="65"/>
      <c r="F45" s="65"/>
      <c r="G45" s="65"/>
      <c r="H45" s="65"/>
      <c r="I45" s="183">
        <f t="shared" ref="I45:K45" si="11">I$62</f>
        <v>3.0099999999999998E-2</v>
      </c>
      <c r="J45" s="183">
        <f t="shared" si="11"/>
        <v>2.86E-2</v>
      </c>
      <c r="K45" s="183">
        <f t="shared" si="11"/>
        <v>2.8500000000000001E-2</v>
      </c>
      <c r="L45" s="184">
        <v>2.4E-2</v>
      </c>
      <c r="M45" s="183">
        <v>2.4E-2</v>
      </c>
      <c r="N45" s="184">
        <v>2.7E-2</v>
      </c>
      <c r="O45" s="184">
        <v>0.03</v>
      </c>
    </row>
    <row r="46" spans="1:19" s="2" customFormat="1" x14ac:dyDescent="0.25">
      <c r="A46" s="66" t="s">
        <v>108</v>
      </c>
      <c r="B46" s="74"/>
      <c r="C46" s="77">
        <v>-27638807.960000001</v>
      </c>
      <c r="D46" s="77">
        <v>-35638117.579999998</v>
      </c>
      <c r="E46" s="77">
        <v>-24061220.23</v>
      </c>
      <c r="F46" s="77">
        <v>-24320093.890000001</v>
      </c>
      <c r="G46" s="77">
        <v>-31324060</v>
      </c>
      <c r="H46" s="77">
        <v>-33400000</v>
      </c>
      <c r="I46" s="77">
        <f>-ROUND((I35-I31-I33)*I45,-5)</f>
        <v>-34200000</v>
      </c>
      <c r="J46" s="77">
        <f>-ROUND((J35-J31-J33)*J45,-5)+2000000</f>
        <v>-34300000</v>
      </c>
      <c r="K46" s="77">
        <f>-ROUND((K35-K31-K33)*K45,-5)</f>
        <v>-37500000</v>
      </c>
      <c r="L46" s="185">
        <f>-ROUND((L35-L31-L33)*L45,-5)</f>
        <v>-33800000</v>
      </c>
      <c r="M46" s="185">
        <f>-ROUND((M35-M31-M33)*M45,-5)</f>
        <v>-33300000</v>
      </c>
      <c r="N46" s="185">
        <f>-ROUND((N35-N31-N33)*N45,-5)</f>
        <v>-40900000</v>
      </c>
      <c r="O46" s="185">
        <f>-ROUND((O35-O31-O33)*O45,-5)</f>
        <v>-39800000</v>
      </c>
      <c r="P46" s="41"/>
    </row>
    <row r="47" spans="1:19" x14ac:dyDescent="0.25">
      <c r="A47" s="65"/>
      <c r="C47" s="17"/>
      <c r="D47" s="17"/>
      <c r="E47" s="17"/>
      <c r="F47" s="17"/>
      <c r="G47" s="17"/>
      <c r="H47" s="17"/>
    </row>
    <row r="48" spans="1:19" s="2" customFormat="1" x14ac:dyDescent="0.25">
      <c r="A48" s="66" t="s">
        <v>109</v>
      </c>
      <c r="C48" s="26">
        <f>SUM(C31:C33,C46)</f>
        <v>-52638807.960000001</v>
      </c>
      <c r="D48" s="26">
        <f>SUM(D31:D33,D46)</f>
        <v>-76338117.579999998</v>
      </c>
      <c r="E48" s="26">
        <f t="shared" ref="E48:H48" si="12">SUM(E31:E33,E46)</f>
        <v>-54661220.230000004</v>
      </c>
      <c r="F48" s="26">
        <f>SUM(F31:F33,F46)</f>
        <v>-54120093.890000001</v>
      </c>
      <c r="G48" s="26">
        <f t="shared" si="12"/>
        <v>-61173060</v>
      </c>
      <c r="H48" s="26">
        <f t="shared" si="12"/>
        <v>-71000000</v>
      </c>
      <c r="I48" s="24">
        <f>SUM(I31:I33,J46)</f>
        <v>-100471000</v>
      </c>
      <c r="J48" s="24">
        <f>SUM(J31:J34,J46)</f>
        <v>-79681000</v>
      </c>
      <c r="K48" s="24">
        <f>K31+K46</f>
        <v>-81200000</v>
      </c>
      <c r="L48" s="24">
        <f t="shared" ref="L48:O48" si="13">L31+L46</f>
        <v>-78000000</v>
      </c>
      <c r="M48" s="24">
        <f t="shared" si="13"/>
        <v>-80500000</v>
      </c>
      <c r="N48" s="24">
        <f t="shared" si="13"/>
        <v>-85600000</v>
      </c>
      <c r="O48" s="24">
        <f t="shared" si="13"/>
        <v>-88700000</v>
      </c>
      <c r="P48" s="41"/>
    </row>
    <row r="50" spans="1:16" x14ac:dyDescent="0.25">
      <c r="K50" s="39">
        <f>K35+K33</f>
        <v>1264246466</v>
      </c>
      <c r="L50" s="39">
        <f>L35+L33</f>
        <v>1323250466</v>
      </c>
    </row>
    <row r="51" spans="1:16" x14ac:dyDescent="0.25">
      <c r="K51">
        <f>K50*K45</f>
        <v>36031024.281000003</v>
      </c>
      <c r="L51">
        <f>L50*L45</f>
        <v>31758011.184</v>
      </c>
    </row>
    <row r="52" spans="1:16" x14ac:dyDescent="0.25">
      <c r="A52" s="12"/>
      <c r="B52" s="12"/>
      <c r="C52" s="12"/>
      <c r="D52" s="12"/>
      <c r="E52" s="12"/>
      <c r="F52" s="12"/>
      <c r="G52" s="12"/>
      <c r="H52" s="12"/>
      <c r="I52" s="12"/>
      <c r="J52" s="12"/>
      <c r="K52" s="12"/>
      <c r="L52" s="12"/>
      <c r="M52" s="12"/>
      <c r="N52" s="12"/>
      <c r="O52" s="12"/>
    </row>
    <row r="53" spans="1:16" s="41" customFormat="1" hidden="1" x14ac:dyDescent="0.25">
      <c r="A53" s="41" t="s">
        <v>203</v>
      </c>
    </row>
    <row r="54" spans="1:16" hidden="1" x14ac:dyDescent="0.25">
      <c r="A54" t="s">
        <v>110</v>
      </c>
      <c r="C54" s="5">
        <v>215000000</v>
      </c>
      <c r="D54" s="5">
        <v>215000000</v>
      </c>
      <c r="E54" s="5">
        <v>275000000</v>
      </c>
      <c r="F54" s="5">
        <v>275000000</v>
      </c>
      <c r="G54" s="5">
        <v>375000000</v>
      </c>
      <c r="H54" s="5">
        <v>475000000</v>
      </c>
      <c r="I54" s="5">
        <v>475000000</v>
      </c>
      <c r="J54" s="42">
        <v>475000000</v>
      </c>
      <c r="K54" s="5">
        <v>525000000</v>
      </c>
      <c r="L54" s="5">
        <v>600000000</v>
      </c>
      <c r="M54" s="5">
        <v>600000000</v>
      </c>
      <c r="N54" s="5">
        <v>600000000</v>
      </c>
      <c r="O54" s="42">
        <f>ROUND(+O35*37.59%,-3)</f>
        <v>457664000</v>
      </c>
      <c r="P54" s="40" t="s">
        <v>192</v>
      </c>
    </row>
    <row r="55" spans="1:16" hidden="1" x14ac:dyDescent="0.25">
      <c r="A55" t="s">
        <v>111</v>
      </c>
      <c r="C55" s="5">
        <v>412559040</v>
      </c>
      <c r="D55" s="5">
        <f t="shared" ref="D55:O55" si="14">D35-D54</f>
        <v>435458294</v>
      </c>
      <c r="E55" s="5">
        <f t="shared" si="14"/>
        <v>457858294</v>
      </c>
      <c r="F55" s="5">
        <f t="shared" si="14"/>
        <v>571014294</v>
      </c>
      <c r="G55" s="5">
        <f t="shared" si="14"/>
        <v>665016294</v>
      </c>
      <c r="H55" s="5">
        <f t="shared" si="14"/>
        <v>527381000</v>
      </c>
      <c r="I55" s="5">
        <f t="shared" si="14"/>
        <v>594877000</v>
      </c>
      <c r="J55" s="42">
        <f t="shared" si="14"/>
        <v>751261466</v>
      </c>
      <c r="K55" s="5">
        <f t="shared" si="14"/>
        <v>743868466</v>
      </c>
      <c r="L55" s="5">
        <f t="shared" si="14"/>
        <v>743763466</v>
      </c>
      <c r="M55" s="5">
        <f t="shared" si="14"/>
        <v>718048466</v>
      </c>
      <c r="N55" s="5">
        <f t="shared" si="14"/>
        <v>820174466</v>
      </c>
      <c r="O55" s="42">
        <f t="shared" si="14"/>
        <v>759852466</v>
      </c>
    </row>
    <row r="56" spans="1:16" hidden="1" x14ac:dyDescent="0.25"/>
    <row r="57" spans="1:16" hidden="1" x14ac:dyDescent="0.25">
      <c r="A57" t="s">
        <v>112</v>
      </c>
      <c r="I57" s="13">
        <v>3.9100000000000003E-2</v>
      </c>
      <c r="J57" s="33">
        <v>3.9100000000000003E-2</v>
      </c>
      <c r="K57" s="13">
        <v>3.9100000000000003E-2</v>
      </c>
      <c r="L57" s="13">
        <v>3.9100000000000003E-2</v>
      </c>
      <c r="M57" s="13">
        <v>3.9100000000000003E-2</v>
      </c>
      <c r="N57" s="13">
        <v>3.9100000000000003E-2</v>
      </c>
      <c r="O57" s="54">
        <v>3.9100000000000003E-2</v>
      </c>
      <c r="P57" s="40" t="s">
        <v>193</v>
      </c>
    </row>
    <row r="58" spans="1:16" hidden="1" x14ac:dyDescent="0.25">
      <c r="A58" t="s">
        <v>113</v>
      </c>
      <c r="I58" s="13">
        <v>2.3E-2</v>
      </c>
      <c r="J58" s="33">
        <v>2.1999999999999999E-2</v>
      </c>
      <c r="K58" s="38">
        <v>2.1000000000000001E-2</v>
      </c>
      <c r="L58" s="13">
        <v>2.29E-2</v>
      </c>
      <c r="M58" s="13">
        <v>2.81E-2</v>
      </c>
      <c r="N58" s="38">
        <v>3.1699999999999999E-2</v>
      </c>
      <c r="O58" s="55">
        <v>3.1699999999999999E-2</v>
      </c>
      <c r="P58" s="40" t="s">
        <v>194</v>
      </c>
    </row>
    <row r="59" spans="1:16" hidden="1" x14ac:dyDescent="0.25"/>
    <row r="60" spans="1:16" hidden="1" x14ac:dyDescent="0.25">
      <c r="I60" s="23">
        <f t="shared" ref="I60:O61" si="15">I54*I57</f>
        <v>18572500</v>
      </c>
      <c r="J60" s="23">
        <f t="shared" si="15"/>
        <v>18572500</v>
      </c>
      <c r="K60" s="23">
        <f t="shared" si="15"/>
        <v>20527500</v>
      </c>
      <c r="L60" s="23">
        <f t="shared" si="15"/>
        <v>23460000</v>
      </c>
      <c r="M60" s="23">
        <f t="shared" si="15"/>
        <v>23460000</v>
      </c>
      <c r="N60" s="23">
        <f t="shared" si="15"/>
        <v>23460000</v>
      </c>
      <c r="O60" s="23">
        <f t="shared" si="15"/>
        <v>17894662.400000002</v>
      </c>
    </row>
    <row r="61" spans="1:16" hidden="1" x14ac:dyDescent="0.25">
      <c r="I61" s="23">
        <f t="shared" si="15"/>
        <v>13682171</v>
      </c>
      <c r="J61" s="23">
        <f t="shared" si="15"/>
        <v>16527752.251999998</v>
      </c>
      <c r="K61" s="23">
        <f t="shared" si="15"/>
        <v>15621237.786</v>
      </c>
      <c r="L61" s="23">
        <f t="shared" si="15"/>
        <v>17032183.371399999</v>
      </c>
      <c r="M61" s="23">
        <f t="shared" si="15"/>
        <v>20177161.8946</v>
      </c>
      <c r="N61" s="23">
        <f t="shared" si="15"/>
        <v>25999530.5722</v>
      </c>
      <c r="O61" s="23">
        <f t="shared" si="15"/>
        <v>24087323.172199998</v>
      </c>
    </row>
    <row r="62" spans="1:16" hidden="1" x14ac:dyDescent="0.25">
      <c r="A62" s="2" t="s">
        <v>114</v>
      </c>
      <c r="I62" s="13">
        <f t="shared" ref="I62:N62" si="16">ROUND(SUM(I60:I61)/SUM(I54:I55),4)</f>
        <v>3.0099999999999998E-2</v>
      </c>
      <c r="J62" s="33">
        <f t="shared" si="16"/>
        <v>2.86E-2</v>
      </c>
      <c r="K62" s="13">
        <f t="shared" si="16"/>
        <v>2.8500000000000001E-2</v>
      </c>
      <c r="L62" s="13">
        <f t="shared" si="16"/>
        <v>3.0099999999999998E-2</v>
      </c>
      <c r="M62" s="13">
        <f t="shared" si="16"/>
        <v>3.3099999999999997E-2</v>
      </c>
      <c r="N62" s="13">
        <f t="shared" si="16"/>
        <v>3.4799999999999998E-2</v>
      </c>
      <c r="O62" s="33">
        <f t="shared" ref="O62" si="17">ROUND(SUM(O60:O61)/SUM(O54:O55),4)</f>
        <v>3.4500000000000003E-2</v>
      </c>
    </row>
    <row r="63" spans="1:16" hidden="1" x14ac:dyDescent="0.25"/>
    <row r="65" spans="11:15" x14ac:dyDescent="0.25">
      <c r="K65" s="13"/>
      <c r="L65" s="33"/>
      <c r="M65" s="33"/>
      <c r="N65" s="33"/>
      <c r="O65" s="33"/>
    </row>
    <row r="66" spans="11:15" x14ac:dyDescent="0.25">
      <c r="K66" s="13"/>
      <c r="L66" s="33"/>
      <c r="M66" s="33"/>
      <c r="N66" s="33"/>
      <c r="O66" s="33"/>
    </row>
  </sheetData>
  <protectedRanges>
    <protectedRange sqref="L33:O33" name="Område1"/>
  </protectedRange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workbookViewId="0">
      <pane xSplit="1" ySplit="1" topLeftCell="B2" activePane="bottomRight" state="frozen"/>
      <selection pane="topRight" activeCell="B1" sqref="B1"/>
      <selection pane="bottomLeft" activeCell="A2" sqref="A2"/>
      <selection pane="bottomRight" activeCell="E20" sqref="E20"/>
    </sheetView>
  </sheetViews>
  <sheetFormatPr baseColWidth="10" defaultRowHeight="15" x14ac:dyDescent="0.25"/>
  <cols>
    <col min="1" max="1" width="77.42578125" bestFit="1" customWidth="1"/>
    <col min="2" max="3" width="15.85546875" bestFit="1" customWidth="1"/>
    <col min="4" max="4" width="15.7109375" bestFit="1" customWidth="1"/>
    <col min="5" max="5" width="13.28515625" bestFit="1" customWidth="1"/>
    <col min="6" max="6" width="15.28515625" customWidth="1"/>
    <col min="7" max="7" width="16.42578125" customWidth="1"/>
    <col min="8" max="9" width="13.28515625" bestFit="1" customWidth="1"/>
    <col min="10" max="10" width="15.140625" bestFit="1" customWidth="1"/>
    <col min="11" max="11" width="13.140625" customWidth="1"/>
    <col min="12" max="12" width="13.140625" style="40" customWidth="1"/>
  </cols>
  <sheetData>
    <row r="1" spans="1:14" x14ac:dyDescent="0.25">
      <c r="B1">
        <v>2009</v>
      </c>
      <c r="C1">
        <v>2010</v>
      </c>
      <c r="D1">
        <v>2011</v>
      </c>
      <c r="E1">
        <v>2012</v>
      </c>
      <c r="F1">
        <v>2013</v>
      </c>
      <c r="G1">
        <v>2014</v>
      </c>
      <c r="H1">
        <v>2015</v>
      </c>
      <c r="I1">
        <v>2016</v>
      </c>
      <c r="J1">
        <v>2017</v>
      </c>
      <c r="K1">
        <v>2018</v>
      </c>
      <c r="L1" s="40">
        <v>2019</v>
      </c>
    </row>
    <row r="2" spans="1:14" x14ac:dyDescent="0.25">
      <c r="A2" t="s">
        <v>116</v>
      </c>
      <c r="B2" s="28"/>
      <c r="C2" s="28"/>
      <c r="D2" s="28"/>
      <c r="E2" s="28"/>
      <c r="F2" s="28">
        <f>E2*103%</f>
        <v>0</v>
      </c>
      <c r="G2" s="28">
        <f>F2*103%</f>
        <v>0</v>
      </c>
      <c r="H2" s="28">
        <f>G2*103%</f>
        <v>0</v>
      </c>
      <c r="I2" s="28">
        <f>H2*103%</f>
        <v>0</v>
      </c>
      <c r="J2" s="28"/>
      <c r="K2" s="28"/>
      <c r="L2" s="42"/>
    </row>
    <row r="3" spans="1:14" x14ac:dyDescent="0.25">
      <c r="B3" s="28"/>
      <c r="C3" s="28"/>
      <c r="D3" s="28"/>
      <c r="E3" s="28"/>
      <c r="F3" s="28"/>
      <c r="G3" s="28"/>
      <c r="H3" s="28"/>
      <c r="I3" s="28"/>
      <c r="J3" s="28"/>
      <c r="K3" s="28"/>
      <c r="L3" s="42"/>
    </row>
    <row r="4" spans="1:14" x14ac:dyDescent="0.25">
      <c r="A4" t="s">
        <v>117</v>
      </c>
      <c r="B4" s="28"/>
      <c r="C4" s="28"/>
      <c r="D4" s="28"/>
      <c r="E4" s="28">
        <v>51159448.5</v>
      </c>
      <c r="F4" s="42">
        <v>55103609</v>
      </c>
      <c r="G4" s="42">
        <v>59118870</v>
      </c>
      <c r="H4" s="42">
        <v>65091000</v>
      </c>
      <c r="I4" s="42">
        <v>68270000</v>
      </c>
      <c r="J4" s="42">
        <f>+I4*1.03</f>
        <v>70318100</v>
      </c>
      <c r="K4" s="42">
        <f t="shared" ref="K4:L4" si="0">+J4*1.03</f>
        <v>72427643</v>
      </c>
      <c r="L4" s="42">
        <f t="shared" si="0"/>
        <v>74600472.290000007</v>
      </c>
    </row>
    <row r="5" spans="1:14" x14ac:dyDescent="0.25">
      <c r="A5" t="s">
        <v>118</v>
      </c>
      <c r="B5" s="28"/>
      <c r="C5" s="28"/>
      <c r="D5" s="28"/>
      <c r="E5" s="28">
        <v>118210058.34999999</v>
      </c>
      <c r="F5" s="42">
        <v>122275795</v>
      </c>
      <c r="G5" s="42">
        <v>125741330</v>
      </c>
      <c r="H5" s="42">
        <v>131100000</v>
      </c>
      <c r="I5" s="42">
        <v>140331000</v>
      </c>
      <c r="J5" s="42">
        <f t="shared" ref="J5:L5" si="1">+I5*1.03</f>
        <v>144540930</v>
      </c>
      <c r="K5" s="42">
        <f t="shared" si="1"/>
        <v>148877157.90000001</v>
      </c>
      <c r="L5" s="42">
        <f t="shared" si="1"/>
        <v>153343472.63700002</v>
      </c>
    </row>
    <row r="6" spans="1:14" x14ac:dyDescent="0.25">
      <c r="A6" t="s">
        <v>119</v>
      </c>
      <c r="B6" s="28"/>
      <c r="C6" s="28"/>
      <c r="D6" s="28"/>
      <c r="E6" s="28">
        <v>175897606.68000001</v>
      </c>
      <c r="F6" s="42">
        <v>161663163</v>
      </c>
      <c r="G6" s="42">
        <v>163550614</v>
      </c>
      <c r="H6" s="42">
        <v>159774000</v>
      </c>
      <c r="I6" s="42">
        <f>45000000+112113000</f>
        <v>157113000</v>
      </c>
      <c r="J6" s="42">
        <f t="shared" ref="J6:L6" si="2">+I6*1.03</f>
        <v>161826390</v>
      </c>
      <c r="K6" s="42">
        <f t="shared" si="2"/>
        <v>166681181.70000002</v>
      </c>
      <c r="L6" s="42">
        <f t="shared" si="2"/>
        <v>171681617.15100002</v>
      </c>
    </row>
    <row r="7" spans="1:14" x14ac:dyDescent="0.25">
      <c r="A7" t="s">
        <v>120</v>
      </c>
      <c r="B7" s="28"/>
      <c r="C7" s="28"/>
      <c r="D7" s="28"/>
      <c r="E7" s="28">
        <v>352351869</v>
      </c>
      <c r="F7" s="42">
        <v>348127602</v>
      </c>
      <c r="G7" s="42">
        <v>366582670</v>
      </c>
      <c r="H7" s="42">
        <v>378000000</v>
      </c>
      <c r="I7" s="42">
        <v>381151000</v>
      </c>
      <c r="J7" s="42">
        <v>380000000</v>
      </c>
      <c r="K7" s="29">
        <v>396456000</v>
      </c>
      <c r="L7" s="29">
        <v>408591000</v>
      </c>
    </row>
    <row r="8" spans="1:14" x14ac:dyDescent="0.25">
      <c r="A8" t="s">
        <v>121</v>
      </c>
      <c r="B8" s="28"/>
      <c r="C8" s="28"/>
      <c r="D8" s="28"/>
      <c r="E8" s="28">
        <v>42303818</v>
      </c>
      <c r="F8" s="42">
        <v>42568735</v>
      </c>
      <c r="G8" s="42">
        <v>56929597</v>
      </c>
      <c r="H8" s="42">
        <v>21460000</v>
      </c>
      <c r="I8" s="42">
        <v>27530000</v>
      </c>
      <c r="J8" s="42">
        <f t="shared" ref="J8:L8" si="3">+I8*1.03</f>
        <v>28355900</v>
      </c>
      <c r="K8" s="42">
        <f t="shared" si="3"/>
        <v>29206577</v>
      </c>
      <c r="L8" s="42">
        <f t="shared" si="3"/>
        <v>30082774.310000002</v>
      </c>
    </row>
    <row r="9" spans="1:14" x14ac:dyDescent="0.25">
      <c r="A9" t="s">
        <v>122</v>
      </c>
      <c r="B9" s="28"/>
      <c r="C9" s="28"/>
      <c r="D9" s="28"/>
      <c r="E9" s="28">
        <v>1173548.5</v>
      </c>
      <c r="F9" s="42">
        <v>1054912</v>
      </c>
      <c r="G9" s="42">
        <v>4806238</v>
      </c>
      <c r="H9" s="42">
        <v>511000</v>
      </c>
      <c r="I9" s="42">
        <v>511000</v>
      </c>
      <c r="J9" s="42">
        <f t="shared" ref="J9:L9" si="4">+I9*1.03</f>
        <v>526330</v>
      </c>
      <c r="K9" s="42">
        <f t="shared" si="4"/>
        <v>542119.9</v>
      </c>
      <c r="L9" s="42">
        <f t="shared" si="4"/>
        <v>558383.49700000009</v>
      </c>
    </row>
    <row r="10" spans="1:14" x14ac:dyDescent="0.25">
      <c r="A10" t="s">
        <v>123</v>
      </c>
      <c r="B10" s="28"/>
      <c r="C10" s="28"/>
      <c r="D10" s="28"/>
      <c r="E10" s="28">
        <v>760882842.34000003</v>
      </c>
      <c r="F10" s="42">
        <v>849578677</v>
      </c>
      <c r="G10" s="42">
        <v>894740426</v>
      </c>
      <c r="H10" s="42">
        <v>928000000</v>
      </c>
      <c r="I10" s="42">
        <v>997753000</v>
      </c>
      <c r="J10" s="42">
        <v>1021650000</v>
      </c>
      <c r="K10" s="29">
        <v>1046421000</v>
      </c>
      <c r="L10" s="29">
        <v>1075540000</v>
      </c>
      <c r="N10" s="42"/>
    </row>
    <row r="11" spans="1:14" x14ac:dyDescent="0.25">
      <c r="A11" t="s">
        <v>124</v>
      </c>
      <c r="B11" s="28"/>
      <c r="C11" s="28"/>
      <c r="D11" s="28"/>
      <c r="E11" s="28">
        <v>0</v>
      </c>
      <c r="F11" s="42">
        <v>0</v>
      </c>
      <c r="G11" s="42">
        <v>0</v>
      </c>
      <c r="H11" s="42">
        <v>0</v>
      </c>
      <c r="I11" s="42">
        <v>0</v>
      </c>
      <c r="J11" s="42">
        <v>0</v>
      </c>
      <c r="K11" s="29">
        <v>0</v>
      </c>
      <c r="L11" s="29">
        <v>0</v>
      </c>
    </row>
    <row r="12" spans="1:14" x14ac:dyDescent="0.25">
      <c r="A12" t="s">
        <v>125</v>
      </c>
      <c r="B12" s="28"/>
      <c r="C12" s="28"/>
      <c r="D12" s="28"/>
      <c r="E12" s="28">
        <v>0</v>
      </c>
      <c r="F12" s="42">
        <v>0</v>
      </c>
      <c r="G12" s="42">
        <v>0</v>
      </c>
      <c r="H12" s="42">
        <v>0</v>
      </c>
      <c r="I12" s="42">
        <v>0</v>
      </c>
      <c r="J12" s="42">
        <v>0</v>
      </c>
      <c r="K12" s="42">
        <v>0</v>
      </c>
      <c r="L12" s="42">
        <v>0</v>
      </c>
    </row>
    <row r="13" spans="1:14" s="2" customFormat="1" x14ac:dyDescent="0.25">
      <c r="A13" s="2" t="s">
        <v>126</v>
      </c>
      <c r="B13" s="7">
        <v>1183814659.6400001</v>
      </c>
      <c r="C13" s="32">
        <v>1255791569.0799999</v>
      </c>
      <c r="D13" s="7">
        <v>1375005756.5699999</v>
      </c>
      <c r="E13" s="7">
        <f t="shared" ref="E13:I13" si="5">SUM(E4:E12)</f>
        <v>1501979191.3699999</v>
      </c>
      <c r="F13" s="7">
        <f t="shared" si="5"/>
        <v>1580372493</v>
      </c>
      <c r="G13" s="7">
        <f t="shared" si="5"/>
        <v>1671469745</v>
      </c>
      <c r="H13" s="7">
        <f t="shared" si="5"/>
        <v>1683936000</v>
      </c>
      <c r="I13" s="7">
        <f t="shared" si="5"/>
        <v>1772659000</v>
      </c>
      <c r="J13" s="7">
        <f>SUM(J4:J12)</f>
        <v>1807217650</v>
      </c>
      <c r="K13" s="7">
        <f>SUM(K4:K12)</f>
        <v>1860611679.5</v>
      </c>
      <c r="L13" s="32">
        <f>SUM(L4:L12)</f>
        <v>1914397719.885</v>
      </c>
    </row>
    <row r="14" spans="1:14" s="2" customFormat="1" x14ac:dyDescent="0.25">
      <c r="A14" s="2" t="s">
        <v>127</v>
      </c>
      <c r="F14" s="30">
        <f t="shared" ref="F14:L14" si="6">(F13-E13)/E13</f>
        <v>5.2193334022487527E-2</v>
      </c>
      <c r="G14" s="30">
        <f t="shared" si="6"/>
        <v>5.7642899002292365E-2</v>
      </c>
      <c r="H14" s="30">
        <f t="shared" si="6"/>
        <v>7.4582594374150634E-3</v>
      </c>
      <c r="I14" s="30">
        <f t="shared" si="6"/>
        <v>5.2687869372707752E-2</v>
      </c>
      <c r="J14" s="30">
        <f t="shared" si="6"/>
        <v>1.9495373898758869E-2</v>
      </c>
      <c r="K14" s="30">
        <f t="shared" si="6"/>
        <v>2.9544880496270052E-2</v>
      </c>
      <c r="L14" s="30">
        <f t="shared" si="6"/>
        <v>2.8907719422385788E-2</v>
      </c>
    </row>
    <row r="16" spans="1:14" x14ac:dyDescent="0.25">
      <c r="A16" t="s">
        <v>128</v>
      </c>
      <c r="F16" s="23">
        <f t="shared" ref="F16:L16" si="7">F13*3%</f>
        <v>47411174.789999999</v>
      </c>
      <c r="G16" s="23">
        <f t="shared" si="7"/>
        <v>50144092.350000001</v>
      </c>
      <c r="H16" s="23">
        <f t="shared" si="7"/>
        <v>50518080</v>
      </c>
      <c r="I16" s="23">
        <f t="shared" si="7"/>
        <v>53179770</v>
      </c>
      <c r="J16" s="23">
        <f t="shared" si="7"/>
        <v>54216529.5</v>
      </c>
      <c r="K16" s="23">
        <f t="shared" si="7"/>
        <v>55818350.384999998</v>
      </c>
      <c r="L16" s="23">
        <f t="shared" si="7"/>
        <v>57431931.596549995</v>
      </c>
    </row>
    <row r="17" spans="1:13" x14ac:dyDescent="0.25">
      <c r="M17" s="23"/>
    </row>
    <row r="18" spans="1:13" x14ac:dyDescent="0.25">
      <c r="F18" s="31"/>
      <c r="G18" s="31"/>
      <c r="H18" s="31"/>
      <c r="I18" s="31"/>
      <c r="M18" s="2"/>
    </row>
    <row r="22" spans="1:13" x14ac:dyDescent="0.25">
      <c r="A22" t="s">
        <v>129</v>
      </c>
      <c r="B22" s="28">
        <v>732858294</v>
      </c>
      <c r="C22" s="28">
        <v>846014294</v>
      </c>
      <c r="D22" s="28">
        <v>1040016294</v>
      </c>
      <c r="E22" s="28">
        <v>1002381000</v>
      </c>
      <c r="F22" s="28">
        <f>Låneutgifter!I35</f>
        <v>1069877000</v>
      </c>
      <c r="G22" s="28">
        <f>Låneutgifter!J35</f>
        <v>1226261466</v>
      </c>
      <c r="H22" s="28">
        <f>Låneutgifter!K35</f>
        <v>1268868466</v>
      </c>
      <c r="I22" s="28">
        <f>Låneutgifter!L35</f>
        <v>1343763466</v>
      </c>
      <c r="J22" s="28">
        <f>Låneutgifter!M35</f>
        <v>1318048466</v>
      </c>
      <c r="K22" s="28">
        <f>Låneutgifter!N35</f>
        <v>1420174466</v>
      </c>
      <c r="L22" s="42">
        <f>+Låneutgifter!O35</f>
        <v>1217516466</v>
      </c>
    </row>
    <row r="24" spans="1:13" x14ac:dyDescent="0.25">
      <c r="B24">
        <v>2009</v>
      </c>
      <c r="C24">
        <v>2010</v>
      </c>
      <c r="D24">
        <v>2011</v>
      </c>
      <c r="E24">
        <v>2012</v>
      </c>
      <c r="F24">
        <v>2013</v>
      </c>
      <c r="G24">
        <v>2014</v>
      </c>
      <c r="H24">
        <v>2015</v>
      </c>
      <c r="I24">
        <v>2016</v>
      </c>
      <c r="J24">
        <v>2017</v>
      </c>
      <c r="K24">
        <v>2018</v>
      </c>
      <c r="L24" s="40">
        <v>2019</v>
      </c>
    </row>
    <row r="25" spans="1:13" x14ac:dyDescent="0.25">
      <c r="A25" s="2" t="s">
        <v>130</v>
      </c>
      <c r="B25" s="80">
        <f t="shared" ref="B25:L25" si="8">B22/B13</f>
        <v>0.61906506059222421</v>
      </c>
      <c r="C25" s="80">
        <f t="shared" si="8"/>
        <v>0.67369005719619135</v>
      </c>
      <c r="D25" s="80">
        <f t="shared" si="8"/>
        <v>0.75637231991985043</v>
      </c>
      <c r="E25" s="80">
        <f t="shared" si="8"/>
        <v>0.66737342684867595</v>
      </c>
      <c r="F25" s="80">
        <f t="shared" si="8"/>
        <v>0.67697774084201301</v>
      </c>
      <c r="G25" s="80">
        <f t="shared" si="8"/>
        <v>0.7336426337767783</v>
      </c>
      <c r="H25" s="80">
        <f t="shared" si="8"/>
        <v>0.75351347438382454</v>
      </c>
      <c r="I25" s="80">
        <f t="shared" si="8"/>
        <v>0.75804961134657034</v>
      </c>
      <c r="J25" s="80">
        <f t="shared" si="8"/>
        <v>0.72932469755372298</v>
      </c>
      <c r="K25" s="80">
        <f t="shared" si="8"/>
        <v>0.76328364572108987</v>
      </c>
      <c r="L25" s="80">
        <f t="shared" si="8"/>
        <v>0.63597885295911116</v>
      </c>
    </row>
    <row r="27" spans="1:13" x14ac:dyDescent="0.25">
      <c r="H27" s="47"/>
      <c r="I27" s="47"/>
      <c r="J27" s="47"/>
      <c r="K27" s="47"/>
      <c r="L27" s="47"/>
    </row>
    <row r="28" spans="1:13" x14ac:dyDescent="0.25">
      <c r="G28" s="41" t="s">
        <v>191</v>
      </c>
      <c r="L28"/>
    </row>
    <row r="29" spans="1:13" x14ac:dyDescent="0.25">
      <c r="G29" t="s">
        <v>136</v>
      </c>
      <c r="H29">
        <v>2015</v>
      </c>
      <c r="I29">
        <v>2016</v>
      </c>
      <c r="J29">
        <v>2017</v>
      </c>
      <c r="K29">
        <v>2018</v>
      </c>
      <c r="L29" s="40">
        <v>2019</v>
      </c>
    </row>
    <row r="30" spans="1:13" x14ac:dyDescent="0.25">
      <c r="G30" s="63" t="s">
        <v>223</v>
      </c>
      <c r="H30" s="37">
        <v>8943</v>
      </c>
      <c r="I30" s="37">
        <f>8215+800</f>
        <v>9015</v>
      </c>
      <c r="J30" s="64">
        <f>8215+800</f>
        <v>9015</v>
      </c>
      <c r="K30" s="64">
        <v>8215</v>
      </c>
      <c r="L30" s="64">
        <v>8215</v>
      </c>
    </row>
    <row r="31" spans="1:13" x14ac:dyDescent="0.25">
      <c r="H31" s="37"/>
      <c r="I31" s="37"/>
      <c r="J31" s="37"/>
      <c r="K31" s="37"/>
      <c r="L31" s="44"/>
    </row>
    <row r="32" spans="1:13" x14ac:dyDescent="0.25">
      <c r="H32" s="37">
        <f>+H30</f>
        <v>8943</v>
      </c>
      <c r="I32" s="64">
        <f t="shared" ref="I32:L32" si="9">+I30</f>
        <v>9015</v>
      </c>
      <c r="J32" s="64">
        <f t="shared" si="9"/>
        <v>9015</v>
      </c>
      <c r="K32" s="64">
        <f t="shared" si="9"/>
        <v>8215</v>
      </c>
      <c r="L32" s="64">
        <f t="shared" si="9"/>
        <v>8215</v>
      </c>
    </row>
    <row r="33" spans="6:12" x14ac:dyDescent="0.25">
      <c r="G33" s="63" t="s">
        <v>224</v>
      </c>
      <c r="H33" s="76">
        <f>+H16+(H32*1000)</f>
        <v>59461080</v>
      </c>
      <c r="I33" s="76">
        <f>+I16+(I32*1000)</f>
        <v>62194770</v>
      </c>
      <c r="J33" s="76">
        <f>+J16+(J32*1000)</f>
        <v>63231529.5</v>
      </c>
      <c r="K33" s="76">
        <f>+K16+(K32*1000)</f>
        <v>64033350.384999998</v>
      </c>
      <c r="L33" s="76">
        <f>+L16+(L32*1000)</f>
        <v>65646931.596549995</v>
      </c>
    </row>
    <row r="34" spans="6:12" x14ac:dyDescent="0.25">
      <c r="F34" s="1"/>
      <c r="G34" s="37"/>
      <c r="H34" s="37"/>
      <c r="I34" s="37"/>
      <c r="J34" s="37"/>
      <c r="L34" s="64"/>
    </row>
    <row r="35" spans="6:12" x14ac:dyDescent="0.25">
      <c r="G35" s="23"/>
      <c r="H35" s="23"/>
      <c r="I35" s="23"/>
      <c r="J35" s="23"/>
      <c r="K35" s="23"/>
      <c r="L35" s="23"/>
    </row>
    <row r="37" spans="6:12" x14ac:dyDescent="0.25">
      <c r="I37" s="42"/>
      <c r="J37" s="42"/>
      <c r="K37" s="29"/>
      <c r="L37" s="29"/>
    </row>
    <row r="38" spans="6:12" x14ac:dyDescent="0.25">
      <c r="I38" s="42"/>
      <c r="J38" s="42"/>
      <c r="K38" s="42"/>
      <c r="L38" s="42"/>
    </row>
    <row r="39" spans="6:12" x14ac:dyDescent="0.25">
      <c r="I39" s="42"/>
      <c r="J39" s="42"/>
      <c r="K39" s="42"/>
      <c r="L39" s="42"/>
    </row>
    <row r="40" spans="6:12" x14ac:dyDescent="0.25">
      <c r="I40" s="42"/>
      <c r="J40" s="42"/>
      <c r="K40" s="29"/>
      <c r="L40" s="29"/>
    </row>
  </sheetData>
  <sheetProtection algorithmName="SHA-512" hashValue="Z5AQQtYV5ptAPjid5coXmDssk+gW5+YUnLNfFMRf0qrag+BvE2R3zja9wqxtAZOUoVwJDRVy6Y5GfPQsxlcSuw==" saltValue="ozYf9Uw1KgANG5NCjlGnUQ==" spinCount="100000" sheet="1" objects="1" scenarios="1"/>
  <pageMargins left="0.7" right="0.7" top="0.78740157499999996" bottom="0.78740157499999996" header="0.3" footer="0.3"/>
  <pageSetup paperSize="9" orientation="portrait" verticalDpi="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3</vt:i4>
      </vt:variant>
    </vt:vector>
  </HeadingPairs>
  <TitlesOfParts>
    <vt:vector size="9" baseType="lpstr">
      <vt:lpstr>Veiledning</vt:lpstr>
      <vt:lpstr>Tabell til HØP</vt:lpstr>
      <vt:lpstr>B 2016-2019</vt:lpstr>
      <vt:lpstr>Inntekter 2016-2019</vt:lpstr>
      <vt:lpstr>Låneutgifter</vt:lpstr>
      <vt:lpstr>Gjeldsgrad</vt:lpstr>
      <vt:lpstr>'B 2016-2019'!Utskriftsområde</vt:lpstr>
      <vt:lpstr>'Inntekter 2016-2019'!Utskriftsområde</vt:lpstr>
      <vt:lpstr>'B 2016-2019'!Utskriftstitler</vt:lpstr>
    </vt:vector>
  </TitlesOfParts>
  <Company>Sola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Ekeberg Gaaseby;Helga Lien</dc:creator>
  <cp:lastModifiedBy>Ine Marit T Bertelsen</cp:lastModifiedBy>
  <cp:lastPrinted>2015-11-02T12:53:09Z</cp:lastPrinted>
  <dcterms:created xsi:type="dcterms:W3CDTF">2014-05-21T11:30:44Z</dcterms:created>
  <dcterms:modified xsi:type="dcterms:W3CDTF">2015-11-25T08:24:07Z</dcterms:modified>
</cp:coreProperties>
</file>